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31" windowWidth="15450" windowHeight="9345" activeTab="0"/>
  </bookViews>
  <sheets>
    <sheet name="ЦЭС" sheetId="1" r:id="rId1"/>
    <sheet name="ВодоКанал" sheetId="2" r:id="rId2"/>
    <sheet name="ПСЦ" sheetId="3" r:id="rId3"/>
    <sheet name="ЦГУС" sheetId="4" r:id="rId4"/>
    <sheet name="ТБО" sheetId="5" r:id="rId5"/>
    <sheet name="КализацияИочистные" sheetId="6" r:id="rId6"/>
    <sheet name="Итоги" sheetId="7" r:id="rId7"/>
  </sheets>
  <definedNames>
    <definedName name="_xlnm.Print_Titles" localSheetId="1">'ВодоКанал'!$2:$7</definedName>
    <definedName name="_xlnm.Print_Titles" localSheetId="2">'ПСЦ'!$2:$6</definedName>
    <definedName name="_xlnm.Print_Titles" localSheetId="3">'ЦГУС'!$1:$5</definedName>
    <definedName name="_xlnm.Print_Titles" localSheetId="0">'ЦЭС'!$2:$6</definedName>
    <definedName name="_xlnm.Print_Area" localSheetId="1">'ВодоКанал'!$A$1:$S$90</definedName>
    <definedName name="_xlnm.Print_Area" localSheetId="6">'Итоги'!$A$1:$J$35</definedName>
    <definedName name="_xlnm.Print_Area" localSheetId="2">'ПСЦ'!$A$1:$S$131</definedName>
    <definedName name="_xlnm.Print_Area" localSheetId="0">'ЦЭС'!$A$1:$S$80</definedName>
  </definedNames>
  <calcPr fullCalcOnLoad="1"/>
</workbook>
</file>

<file path=xl/comments1.xml><?xml version="1.0" encoding="utf-8"?>
<comments xmlns="http://schemas.openxmlformats.org/spreadsheetml/2006/main">
  <authors>
    <author>sss</author>
  </authors>
  <commentList>
    <comment ref="C7" authorId="0">
      <text>
        <r>
          <rPr>
            <b/>
            <sz val="8"/>
            <rFont val="Tahoma"/>
            <family val="0"/>
          </rPr>
          <t xml:space="preserve">ssl: </t>
        </r>
        <r>
          <rPr>
            <sz val="8"/>
            <rFont val="Tahoma"/>
            <family val="0"/>
          </rPr>
          <t>Коттеджный поселок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ssl: </t>
        </r>
        <r>
          <rPr>
            <sz val="8"/>
            <rFont val="Tahoma"/>
            <family val="0"/>
          </rPr>
          <t>Коттеджный поселок</t>
        </r>
      </text>
    </comment>
    <comment ref="C13" authorId="0">
      <text>
        <r>
          <rPr>
            <b/>
            <sz val="8"/>
            <rFont val="Tahoma"/>
            <family val="0"/>
          </rPr>
          <t>ssl:</t>
        </r>
        <r>
          <rPr>
            <sz val="8"/>
            <rFont val="Tahoma"/>
            <family val="2"/>
          </rPr>
          <t xml:space="preserve"> Коттеджный поселок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>ssl:</t>
        </r>
        <r>
          <rPr>
            <sz val="8"/>
            <rFont val="Tahoma"/>
            <family val="2"/>
          </rPr>
          <t xml:space="preserve"> Коттеджный поселок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ssl:</t>
        </r>
        <r>
          <rPr>
            <sz val="8"/>
            <rFont val="Tahoma"/>
            <family val="2"/>
          </rPr>
          <t xml:space="preserve"> Коттеджный поселок</t>
        </r>
        <r>
          <rPr>
            <sz val="8"/>
            <rFont val="Tahoma"/>
            <family val="0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0"/>
          </rPr>
          <t xml:space="preserve">ssl: </t>
        </r>
        <r>
          <rPr>
            <sz val="8"/>
            <rFont val="Tahoma"/>
            <family val="2"/>
          </rPr>
          <t>Коттеджный поселок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0"/>
          </rPr>
          <t xml:space="preserve">ssl: </t>
        </r>
        <r>
          <rPr>
            <sz val="8"/>
            <rFont val="Tahoma"/>
            <family val="2"/>
          </rPr>
          <t>Коттеджный поселок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<sst xmlns="http://schemas.openxmlformats.org/spreadsheetml/2006/main" count="1123" uniqueCount="309">
  <si>
    <t>№ пп</t>
  </si>
  <si>
    <t>Дата ввода в эксплуатацию</t>
  </si>
  <si>
    <t>Потребность в инвестициях, итого (тыс.руб)</t>
  </si>
  <si>
    <t xml:space="preserve">Энергоуправление РФЯЦ-ВНИИЭФ ЦГУС </t>
  </si>
  <si>
    <t>Микрорайон № 21</t>
  </si>
  <si>
    <t>Квартал №19</t>
  </si>
  <si>
    <t>Квартал №9</t>
  </si>
  <si>
    <t>Микрорайон № 2а</t>
  </si>
  <si>
    <t>Квартал №19а</t>
  </si>
  <si>
    <t>Квартал №17</t>
  </si>
  <si>
    <t>ГРС</t>
  </si>
  <si>
    <t>Бадансовая принедлежность</t>
  </si>
  <si>
    <t>Наименование объекта, основных средств, основные технические характеристики</t>
  </si>
  <si>
    <t>Год проведения последнего капитального ремонта</t>
  </si>
  <si>
    <t>Обоснование модернизации</t>
  </si>
  <si>
    <t>Год выпуска ПСД</t>
  </si>
  <si>
    <t>Технические характеристики до модернизации</t>
  </si>
  <si>
    <t>Технические характеристики после модернизации</t>
  </si>
  <si>
    <t>Стоимость работ по модернизации объекта (тыс.руб)</t>
  </si>
  <si>
    <t>Федеральный бюджет</t>
  </si>
  <si>
    <t>Местный бюджет</t>
  </si>
  <si>
    <t>Средства предприятия</t>
  </si>
  <si>
    <t>Источник финансирования</t>
  </si>
  <si>
    <t>Срок полезного использования (лет)</t>
  </si>
  <si>
    <t>Восстано-вительная стоимость основных средств</t>
  </si>
  <si>
    <t xml:space="preserve">Микрорайон № ТИЗ-1 </t>
  </si>
  <si>
    <r>
      <t xml:space="preserve">Микрорайон № </t>
    </r>
    <r>
      <rPr>
        <b/>
        <u val="single"/>
        <sz val="10"/>
        <rFont val="Times New Roman"/>
        <family val="1"/>
      </rPr>
      <t>ТИЗ-1 (первая очередь)</t>
    </r>
  </si>
  <si>
    <t>Тоже</t>
  </si>
  <si>
    <t>Требования ОНТП 51-1-85</t>
  </si>
  <si>
    <t>Не производился</t>
  </si>
  <si>
    <t>Требования СП 42-101-2002, СНиП 2.04.08-87*</t>
  </si>
  <si>
    <t>Местный бджет</t>
  </si>
  <si>
    <t>На стадии монтажа</t>
  </si>
  <si>
    <t>То же + гарантийное писмо УКС администрации г.Саров №14.01-05/1198 от 22.11.04</t>
  </si>
  <si>
    <t>То же</t>
  </si>
  <si>
    <t xml:space="preserve">Телемеханизация ГРП-16 </t>
  </si>
  <si>
    <t xml:space="preserve">Телемеханизация ГРП-17 </t>
  </si>
  <si>
    <t xml:space="preserve">Телемеханизация ГРПБ-18 </t>
  </si>
  <si>
    <t xml:space="preserve">Энергоуправление РФЯЦ-ВНИИЭФ ЦГУС  Передано в безвозмездное пользование ЭУ сроком на 25 лет. Распоряжение администрации №2214-П от 12.11.2002 </t>
  </si>
  <si>
    <t xml:space="preserve">Энергоуправление РФЯЦ-ВНИИЭФ ЦГУС  Передано в безвозмездное пользование ЭУ сроком на 1 год. Распоряжение администрации №4011-П от 30.09.2005 </t>
  </si>
  <si>
    <t>Модернизация оборудования технологической обвязки ГРП-2 (производительность 3 тыс. м.куб/час), в том числе</t>
  </si>
  <si>
    <t>Оборудование технологической обвязки сильно изношено, необходимо привести в соответствие действующим нормтивам</t>
  </si>
  <si>
    <t>Модернизация оборудования технологической обвязки ГРП-1 (производительность 3 тыс. м.куб/час), в том числе</t>
  </si>
  <si>
    <t>Модернизация оборудования технологической обвязки ГРП-5 (производительность 3 тыс. м.куб/час), в том числе:</t>
  </si>
  <si>
    <t>Модернизация оборудования технологической обвязки ГРП-6 (производительность 3 тыс. м.куб/час)</t>
  </si>
  <si>
    <t>Модернизация оборудования технологической обвязки ГРП-4 (производительность 3 тыс. м.куб/час), в том числе</t>
  </si>
  <si>
    <t>Приведение колодцев в соответствие "Правилам безопасности…"</t>
  </si>
  <si>
    <t>Существующая система не обеспечивает надлежащей очистки газа.</t>
  </si>
  <si>
    <t>Модернизация узла редуцирования ГРС с заменой входных пробковых кранов на электроуправляемые шаровые с электроприводом, втом числе:</t>
  </si>
  <si>
    <t xml:space="preserve">Газопровод высокого давления второй категории ГРС-ТЭЦ. </t>
  </si>
  <si>
    <t>В составе оборудования ГРС</t>
  </si>
  <si>
    <t>Вывод всех основных параметров работы ГРП на пульт  действующей системы телемеханики "Каскад-3м"</t>
  </si>
  <si>
    <t>Модернизация узла одоризации газа</t>
  </si>
  <si>
    <t>Модернизация узла очистки газа с заменой мультициклонных пылеуловителей, на систему двухступенчатой очистки газа</t>
  </si>
  <si>
    <t xml:space="preserve">                                  Адресная программа модернизации объектов коммунальной инфраструктуры</t>
  </si>
  <si>
    <t>Наименование объекта основных средств,основные технические характеристики</t>
  </si>
  <si>
    <t>Балансовая принадлеж-ность</t>
  </si>
  <si>
    <t>Год ввода в эксплуата-цию</t>
  </si>
  <si>
    <t>Срок полез-ного использо-вания                      (в годах)</t>
  </si>
  <si>
    <t>Восстанови-тельная стоимость основных средств                       (тыс.руб.)</t>
  </si>
  <si>
    <t>Остаточная стоимость основных средств                       (тыс.руб.)</t>
  </si>
  <si>
    <t>Технические характе-ристики после  модернизации</t>
  </si>
  <si>
    <t>Стоимость работ по модернизации объекта (тыс.руб.)</t>
  </si>
  <si>
    <t>Потребность в инвестициях, тыс.руб.</t>
  </si>
  <si>
    <t>Низковольтная кабельная и воздушная сеть ул. Гайдара, U=0,4кВ, провод АС-25</t>
  </si>
  <si>
    <t>ВНИИЭФ</t>
  </si>
  <si>
    <t>Износ 98%, недостаточная пропускная способность</t>
  </si>
  <si>
    <r>
      <t>Р</t>
    </r>
    <r>
      <rPr>
        <vertAlign val="subscript"/>
        <sz val="10"/>
        <rFont val="Times New Roman Cyr"/>
        <family val="1"/>
      </rPr>
      <t>сущ</t>
    </r>
    <r>
      <rPr>
        <sz val="10"/>
        <rFont val="Times New Roman Cyr"/>
        <family val="1"/>
      </rPr>
      <t>=46,5кВт</t>
    </r>
  </si>
  <si>
    <r>
      <t>Р</t>
    </r>
    <r>
      <rPr>
        <vertAlign val="subscript"/>
        <sz val="10"/>
        <rFont val="Times New Roman Cyr"/>
        <family val="1"/>
      </rPr>
      <t>пр</t>
    </r>
    <r>
      <rPr>
        <sz val="10"/>
        <rFont val="Times New Roman Cyr"/>
        <family val="1"/>
      </rPr>
      <t>=244,1кВт</t>
    </r>
  </si>
  <si>
    <t>Местный  бюджет</t>
  </si>
  <si>
    <t>Низковольтные сети ТП-42, ул. Западная, U=0,4кВ, провод АС-25</t>
  </si>
  <si>
    <t>-</t>
  </si>
  <si>
    <t>Износ 100%, недостаточная пропускная способность</t>
  </si>
  <si>
    <r>
      <t>Р</t>
    </r>
    <r>
      <rPr>
        <vertAlign val="subscript"/>
        <sz val="10"/>
        <rFont val="Times New Roman Cyr"/>
        <family val="1"/>
      </rPr>
      <t>сущ</t>
    </r>
    <r>
      <rPr>
        <sz val="10"/>
        <rFont val="Times New Roman Cyr"/>
        <family val="1"/>
      </rPr>
      <t>=78кВт</t>
    </r>
  </si>
  <si>
    <r>
      <t>Р</t>
    </r>
    <r>
      <rPr>
        <vertAlign val="subscript"/>
        <sz val="10"/>
        <rFont val="Times New Roman Cyr"/>
        <family val="1"/>
      </rPr>
      <t>пр</t>
    </r>
    <r>
      <rPr>
        <sz val="10"/>
        <rFont val="Times New Roman Cyr"/>
        <family val="1"/>
      </rPr>
      <t>=250кВт</t>
    </r>
  </si>
  <si>
    <t>Низковольтные  сети              ТП-42,ул.Менделеева, Тимирязева, U=0,4кВ, провод АС-25</t>
  </si>
  <si>
    <t>Отсутствие технической возможности подключения коттеджей из-за недостаточной пропускной способности сети</t>
  </si>
  <si>
    <r>
      <t>Р</t>
    </r>
    <r>
      <rPr>
        <vertAlign val="subscript"/>
        <sz val="10"/>
        <rFont val="Times New Roman Cyr"/>
        <family val="1"/>
      </rPr>
      <t>сущ</t>
    </r>
    <r>
      <rPr>
        <sz val="10"/>
        <rFont val="Times New Roman Cyr"/>
        <family val="1"/>
      </rPr>
      <t>=170кВт</t>
    </r>
  </si>
  <si>
    <r>
      <t>Р</t>
    </r>
    <r>
      <rPr>
        <vertAlign val="subscript"/>
        <sz val="10"/>
        <rFont val="Times New Roman Cyr"/>
        <family val="1"/>
      </rPr>
      <t>пр</t>
    </r>
    <r>
      <rPr>
        <sz val="10"/>
        <rFont val="Times New Roman Cyr"/>
        <family val="1"/>
      </rPr>
      <t>=460кВт</t>
    </r>
  </si>
  <si>
    <t>Низковольтная сеть ТП-59           (электроснабжение ж/д по пр. Ленина,22,U=0,4кВ,                  эл.кабель ААБ 3х50+1х25</t>
  </si>
  <si>
    <t>Падение напряжения в эл.сети больше допустимого         из-за возросших эл.нагрузок</t>
  </si>
  <si>
    <r>
      <t>Р</t>
    </r>
    <r>
      <rPr>
        <vertAlign val="subscript"/>
        <sz val="10"/>
        <rFont val="Times New Roman Cyr"/>
        <family val="1"/>
      </rPr>
      <t>сущ</t>
    </r>
    <r>
      <rPr>
        <sz val="10"/>
        <rFont val="Times New Roman Cyr"/>
        <family val="1"/>
      </rPr>
      <t>=120кВт</t>
    </r>
  </si>
  <si>
    <r>
      <t>Р</t>
    </r>
    <r>
      <rPr>
        <vertAlign val="subscript"/>
        <sz val="10"/>
        <rFont val="Times New Roman Cyr"/>
        <family val="1"/>
      </rPr>
      <t>пр</t>
    </r>
    <r>
      <rPr>
        <sz val="10"/>
        <rFont val="Times New Roman Cyr"/>
        <family val="1"/>
      </rPr>
      <t>=216кВт</t>
    </r>
  </si>
  <si>
    <t>Низковольтные сети ТП-7                          (эл.снабжение жилых домов, U=0,4кВ,                                 эл.кабель АСБ 3х16+1х10</t>
  </si>
  <si>
    <r>
      <t>Р</t>
    </r>
    <r>
      <rPr>
        <vertAlign val="subscript"/>
        <sz val="10"/>
        <rFont val="Times New Roman Cyr"/>
        <family val="1"/>
      </rPr>
      <t>сущ</t>
    </r>
    <r>
      <rPr>
        <sz val="10"/>
        <rFont val="Times New Roman Cyr"/>
        <family val="1"/>
      </rPr>
      <t>=350кВт</t>
    </r>
  </si>
  <si>
    <r>
      <t>Р</t>
    </r>
    <r>
      <rPr>
        <vertAlign val="subscript"/>
        <sz val="10"/>
        <rFont val="Times New Roman Cyr"/>
        <family val="1"/>
      </rPr>
      <t>пр</t>
    </r>
    <r>
      <rPr>
        <sz val="10"/>
        <rFont val="Times New Roman Cyr"/>
        <family val="1"/>
      </rPr>
      <t>=560кВт</t>
    </r>
  </si>
  <si>
    <t>Низковольтные сети ТП-7А U=0,4кВ,                                 эл.кабель ААБ 3х10+1х6, ААБ 3х6+1х4</t>
  </si>
  <si>
    <r>
      <t>Р</t>
    </r>
    <r>
      <rPr>
        <vertAlign val="subscript"/>
        <sz val="10"/>
        <rFont val="Times New Roman Cyr"/>
        <family val="1"/>
      </rPr>
      <t>сущ</t>
    </r>
    <r>
      <rPr>
        <sz val="10"/>
        <rFont val="Times New Roman Cyr"/>
        <family val="1"/>
      </rPr>
      <t>=100кВт</t>
    </r>
  </si>
  <si>
    <r>
      <t>Р</t>
    </r>
    <r>
      <rPr>
        <vertAlign val="subscript"/>
        <sz val="10"/>
        <rFont val="Times New Roman Cyr"/>
        <family val="1"/>
      </rPr>
      <t>пр</t>
    </r>
    <r>
      <rPr>
        <sz val="10"/>
        <rFont val="Times New Roman Cyr"/>
        <family val="1"/>
      </rPr>
      <t>=400кВт</t>
    </r>
  </si>
  <si>
    <t>Низковольтная  кабельная и воздушная сети ул.Димитрова,(ТП-30)                ААБ 3х10+1х6,                 ААБ 3х6+1х4</t>
  </si>
  <si>
    <r>
      <t>Р</t>
    </r>
    <r>
      <rPr>
        <vertAlign val="subscript"/>
        <sz val="10"/>
        <rFont val="Times New Roman Cyr"/>
        <family val="1"/>
      </rPr>
      <t>сущ</t>
    </r>
    <r>
      <rPr>
        <sz val="10"/>
        <rFont val="Times New Roman Cyr"/>
        <family val="1"/>
      </rPr>
      <t>=560кВт</t>
    </r>
  </si>
  <si>
    <r>
      <t>Р</t>
    </r>
    <r>
      <rPr>
        <vertAlign val="subscript"/>
        <sz val="10"/>
        <rFont val="Times New Roman Cyr"/>
        <family val="1"/>
      </rPr>
      <t>пр</t>
    </r>
    <r>
      <rPr>
        <sz val="10"/>
        <rFont val="Times New Roman Cyr"/>
        <family val="1"/>
      </rPr>
      <t>=882кВт</t>
    </r>
  </si>
  <si>
    <t>Высоковольтный кабель            ТП-7 -ТП-7А, U=6кВ, эл.кабель СБ 6 3х50</t>
  </si>
  <si>
    <t>ФГУДП "Обеспе-чение"</t>
  </si>
  <si>
    <r>
      <t>Р</t>
    </r>
    <r>
      <rPr>
        <vertAlign val="subscript"/>
        <sz val="10"/>
        <rFont val="Times New Roman Cyr"/>
        <family val="1"/>
      </rPr>
      <t>сущ</t>
    </r>
    <r>
      <rPr>
        <sz val="10"/>
        <rFont val="Times New Roman Cyr"/>
        <family val="1"/>
      </rPr>
      <t>=1610кВт</t>
    </r>
  </si>
  <si>
    <r>
      <t>Р</t>
    </r>
    <r>
      <rPr>
        <vertAlign val="subscript"/>
        <sz val="10"/>
        <rFont val="Times New Roman Cyr"/>
        <family val="1"/>
      </rPr>
      <t>пр</t>
    </r>
    <r>
      <rPr>
        <sz val="10"/>
        <rFont val="Times New Roman Cyr"/>
        <family val="1"/>
      </rPr>
      <t>=2335кВт</t>
    </r>
  </si>
  <si>
    <t>Высоковольтный кабель            ТП-53 -ТП-26, U=6кВ, эл.кабель СБ 6 3х50</t>
  </si>
  <si>
    <t>Высоковольтный кабель            ГПП-40 -ТП-53, U=6кВ, эл.кабель СБ 6 3х70</t>
  </si>
  <si>
    <t>Автоматизированная система комплексного учета эл.энергии № 06481409 (развитие системы)</t>
  </si>
  <si>
    <t>Отсутствие технического учета эл.энергии на подстанциях</t>
  </si>
  <si>
    <t>Автоматизиро-ванный процесс сбора информации расхода эл.энергии</t>
  </si>
  <si>
    <t>Оборудование  комплекса телесигнализации и управления                                 № 01602251                   (развитие системы)</t>
  </si>
  <si>
    <t>Моральный и физический износ существующих схем ТС и ТУ</t>
  </si>
  <si>
    <t>Релейные элементы схем защиты</t>
  </si>
  <si>
    <t>Элементная база на микро-процессорных устройствах</t>
  </si>
  <si>
    <t>Стенд уличного освещения       № 01464251</t>
  </si>
  <si>
    <t>Повышение надежности в работе, постоянный контроль линий связи, постоянный контроль работы каскадов НО</t>
  </si>
  <si>
    <t>Транзисторная схема</t>
  </si>
  <si>
    <t>ТП-36А</t>
  </si>
  <si>
    <t>Возросшие эл.нагрузки</t>
  </si>
  <si>
    <r>
      <t>Р</t>
    </r>
    <r>
      <rPr>
        <vertAlign val="subscript"/>
        <sz val="10"/>
        <rFont val="Times New Roman Cyr"/>
        <family val="1"/>
      </rPr>
      <t>сущ</t>
    </r>
    <r>
      <rPr>
        <sz val="10"/>
        <rFont val="Times New Roman Cyr"/>
        <family val="1"/>
      </rPr>
      <t>=400кВт</t>
    </r>
  </si>
  <si>
    <t>ТП-42А</t>
  </si>
  <si>
    <r>
      <t>Р</t>
    </r>
    <r>
      <rPr>
        <vertAlign val="subscript"/>
        <sz val="10"/>
        <rFont val="Times New Roman Cyr"/>
        <family val="1"/>
      </rPr>
      <t>сущ</t>
    </r>
    <r>
      <rPr>
        <sz val="10"/>
        <rFont val="Times New Roman Cyr"/>
        <family val="1"/>
      </rPr>
      <t>=180кВт</t>
    </r>
  </si>
  <si>
    <r>
      <t>Р</t>
    </r>
    <r>
      <rPr>
        <vertAlign val="subscript"/>
        <sz val="10"/>
        <rFont val="Times New Roman Cyr"/>
        <family val="1"/>
      </rPr>
      <t>пр</t>
    </r>
    <r>
      <rPr>
        <sz val="10"/>
        <rFont val="Times New Roman Cyr"/>
        <family val="1"/>
      </rPr>
      <t>=350кВт</t>
    </r>
  </si>
  <si>
    <t>Силовое оборудование            ГПП-40</t>
  </si>
  <si>
    <t xml:space="preserve">Моральный и физический износ  </t>
  </si>
  <si>
    <t>Низковольтное оборудование ТП-110</t>
  </si>
  <si>
    <t>Требования ПУЭ</t>
  </si>
  <si>
    <t>Силовое оборудование         ГПП "Заречная"</t>
  </si>
  <si>
    <t>Наружное освещение пр.Ленина</t>
  </si>
  <si>
    <t xml:space="preserve">Физический износ  </t>
  </si>
  <si>
    <t>ИТОГО:</t>
  </si>
  <si>
    <t>Наружное освещение ул.Мира</t>
  </si>
  <si>
    <t>Установка электросчетчиков на наружное освещение улиц города</t>
  </si>
  <si>
    <t>Реконструкция участка обезвоживания осадка сточных вод (замена основного оборудования). Здание 56.</t>
  </si>
  <si>
    <t>Уменьшение объема складируемого осадка. Снижение энергопотребления в 2 раза.</t>
  </si>
  <si>
    <t>Организация коммерческого учета элетроэнергии на стороне 6 кВ очистных сооружений</t>
  </si>
  <si>
    <t>Снижение тарифа за потребленную электроэнергию, более полный контроль за расходом эл.энергии</t>
  </si>
  <si>
    <t>Автоматизация шести насосных канализационных станций</t>
  </si>
  <si>
    <t>Снижение энергопотребления, сокращение трудовых затрат, щадящий режим для оборудования, повышение его срока службы</t>
  </si>
  <si>
    <t>Реконструкция самотечной канализации на территории монастырского комплекса (пр.Мира)</t>
  </si>
  <si>
    <r>
      <t>Д</t>
    </r>
    <r>
      <rPr>
        <vertAlign val="subscript"/>
        <sz val="10"/>
        <rFont val="Times New Roman Cyr"/>
        <family val="1"/>
      </rPr>
      <t>у</t>
    </r>
    <r>
      <rPr>
        <sz val="10"/>
        <rFont val="Times New Roman Cyr"/>
        <family val="1"/>
      </rPr>
      <t>=150 мм а/ц 0,48 км</t>
    </r>
  </si>
  <si>
    <r>
      <t>Д</t>
    </r>
    <r>
      <rPr>
        <vertAlign val="subscript"/>
        <sz val="10"/>
        <rFont val="Times New Roman Cyr"/>
        <family val="1"/>
      </rPr>
      <t>у</t>
    </r>
    <r>
      <rPr>
        <sz val="10"/>
        <rFont val="Times New Roman Cyr"/>
        <family val="1"/>
      </rPr>
      <t>=150 мм пол. 0,48 км</t>
    </r>
  </si>
  <si>
    <t>Здание 54 - насосно-воздуходувная  станция</t>
  </si>
  <si>
    <t>Замена устаревшего энергоемкого оборудования (воздуходувок)</t>
  </si>
  <si>
    <t>4 воздухо-дувки, (3 рабочих, 1 резервная, Q=6000 м3/час)</t>
  </si>
  <si>
    <t>3 воздухо-дувки, (2 рабочих, 1 резервная, Q=12000 м3/час)</t>
  </si>
  <si>
    <t>Здание 53 - (сооружение механической очистки)</t>
  </si>
  <si>
    <t>1998 (замена оборудования)</t>
  </si>
  <si>
    <t>100% износ оборудования</t>
  </si>
  <si>
    <t>3 решетки (2 рабочих, 1 резервная)</t>
  </si>
  <si>
    <t>Здание 55 (минирализатор)</t>
  </si>
  <si>
    <t>1997 (замена дренаж-ных эле-ментов)</t>
  </si>
  <si>
    <t>Физический износ, разрушение конструкции, кальматация аэраторов.</t>
  </si>
  <si>
    <t>Аэрацион-ные трубы</t>
  </si>
  <si>
    <t>Аэрацион-ные трубы для мелко-пузырчатой аэрации.</t>
  </si>
  <si>
    <t>Ёмкостное сооружение</t>
  </si>
  <si>
    <t>Физический износ, разрушение конструкции.</t>
  </si>
  <si>
    <t>Сооружение 52 (контактные резервуары)</t>
  </si>
  <si>
    <t>Сооружение 47 (аэротенки)</t>
  </si>
  <si>
    <t>Разрушение конструкции, кальматация аэраторов</t>
  </si>
  <si>
    <t>Уменьшение проектных показателей по очистке.</t>
  </si>
  <si>
    <t>Восстановление проектных показателей.</t>
  </si>
  <si>
    <t>Канализационная насосная станция (КНС-2)</t>
  </si>
  <si>
    <t>2004 (замена электро-оборудо-вания)</t>
  </si>
  <si>
    <t>Улучшение гидравлических характеристик работы "насос-сеть"</t>
  </si>
  <si>
    <t>4 насоса Н=46 м</t>
  </si>
  <si>
    <t>4 насоса Н=32 м</t>
  </si>
  <si>
    <t>Напорная канализация d=600 мм, ул.Димитрова</t>
  </si>
  <si>
    <t>d=600 мм; 3100 п.м.</t>
  </si>
  <si>
    <t>Реконструкция объектов водоснабжения</t>
  </si>
  <si>
    <t>Водопровод ул.Чкалова 2,4, ул.Садовая 17</t>
  </si>
  <si>
    <t>100% износ</t>
  </si>
  <si>
    <t>d=150 мм, чуг. L=0,4 км</t>
  </si>
  <si>
    <t>d=100 мм, пол. L=0,4 км</t>
  </si>
  <si>
    <t>Водопровод ул.Семашко 12</t>
  </si>
  <si>
    <t>d=150 мм, ст. L=0,2 км</t>
  </si>
  <si>
    <t>d=150 мм, пол. L=0,2 км</t>
  </si>
  <si>
    <t>Водопровод ул.Юности</t>
  </si>
  <si>
    <t>d=150 мм, ст. L=0,25 км</t>
  </si>
  <si>
    <t>d=150 мм, пол. L=0,25 км</t>
  </si>
  <si>
    <t>Водопровод шк.12</t>
  </si>
  <si>
    <t>d=150 мм, ст. L=0,3 км</t>
  </si>
  <si>
    <t>d=150 мм, пол. L=0,3 км</t>
  </si>
  <si>
    <t>Водопровод ул.Советская 4,6,8</t>
  </si>
  <si>
    <t>d=100 мм, ст. L=0,17 км</t>
  </si>
  <si>
    <t>d=100 мм, пол. L=0,17 км</t>
  </si>
  <si>
    <t>Водопровод к гор.кладбищу</t>
  </si>
  <si>
    <t>d=100 мм, чуг. L=0,65 км</t>
  </si>
  <si>
    <t>d=100 мм, пол. L=0,65 км</t>
  </si>
  <si>
    <t>Водопровод пр.Музрукова д.25</t>
  </si>
  <si>
    <t>Водопровод площадка 20</t>
  </si>
  <si>
    <t>1956-1963</t>
  </si>
  <si>
    <t>d=150 мм, чуг. L=0,5 км</t>
  </si>
  <si>
    <t>d=150 мм, пол. L=0,5 км</t>
  </si>
  <si>
    <t>d=150 мм, чуг. L=0,12 км</t>
  </si>
  <si>
    <t>d=150 мм, пол. L=0,12 км</t>
  </si>
  <si>
    <t>Водопровод ул.Силкина д.24</t>
  </si>
  <si>
    <t>Водопровод АЗС-РММ шоссе Южное</t>
  </si>
  <si>
    <t>d=150 мм, чуг. L=0,2 км</t>
  </si>
  <si>
    <t>Водопровод ул.Силкина д.7</t>
  </si>
  <si>
    <t>d=100 мм, ст. L=0,1 км</t>
  </si>
  <si>
    <t>d=100 мм, пол. L=0,1 км</t>
  </si>
  <si>
    <t>Водопровод ул.Советская д.12, 14, 16</t>
  </si>
  <si>
    <t>d=100 мм, ст. L=0,08 км</t>
  </si>
  <si>
    <t>d=100 мм, пол. L=0,08 км</t>
  </si>
  <si>
    <t>Водопровод территория ОСГ</t>
  </si>
  <si>
    <t>d=150 мм, ст. L=0,22 км</t>
  </si>
  <si>
    <t>d=150 мм, пол. L=0,22 км</t>
  </si>
  <si>
    <t>Водопровод пр.Мира 17А</t>
  </si>
  <si>
    <t>Водопровод ул.Бессарабенко д.14</t>
  </si>
  <si>
    <t>d=150 мм, ст. L=0,1 км</t>
  </si>
  <si>
    <t>d=150 мм, пол. L=0,1 км</t>
  </si>
  <si>
    <t>Водопровод монастырского комплекса (пр.Мира)</t>
  </si>
  <si>
    <t>d=200 мм, чуг. L=0,7 км</t>
  </si>
  <si>
    <t>d=150 мм, пол. L=0,7 км</t>
  </si>
  <si>
    <t>Водопровод ул.Силкина д.19</t>
  </si>
  <si>
    <t>d=150 мм, ст. L=0,06 км</t>
  </si>
  <si>
    <t>d=150 мм, пол. L=0,06 км</t>
  </si>
  <si>
    <t>Водопровод на территории больничного городка (закольцовка роддома)</t>
  </si>
  <si>
    <t>d=150 мм, пол. L=0,15 км</t>
  </si>
  <si>
    <t xml:space="preserve">Водопровод ул.Привокзальная </t>
  </si>
  <si>
    <t>d=80 мм, ст. L=0,07 км</t>
  </si>
  <si>
    <t>d=200 мм, пол. L=0,3 км</t>
  </si>
  <si>
    <t>Организация коммерческого учета электроэнергии на стороне 6 кв. водозаборных сооружений города</t>
  </si>
  <si>
    <t>Автоматизация 7 скважин</t>
  </si>
  <si>
    <t>Устройство контрольных измерительных точек на водопроводных сетях.</t>
  </si>
  <si>
    <t>Уменьшение времени обнаружения повреждений сети и уменьшение потери воды.</t>
  </si>
  <si>
    <t>Реконструкция насосной станции второго подъема (замена насосного оборудования , частотного преобразователя и т.д.)</t>
  </si>
  <si>
    <t>Снижение энергопотребления.</t>
  </si>
  <si>
    <t>Замена насоса ЭЦВ12-210-55</t>
  </si>
  <si>
    <t>Увеличение производительности скважины</t>
  </si>
  <si>
    <t>160 м3/ч</t>
  </si>
  <si>
    <t>210 м3/ч</t>
  </si>
  <si>
    <t>ИТОГО по объектам водоснабжения:</t>
  </si>
  <si>
    <t>Водопровод пр.Музрукова д.29</t>
  </si>
  <si>
    <t>Реконструкция магистральных сетей систем холодного содоснабжения и водоотведения (охват 175 двухквартирных домов) поселок "Строитель" (МКР-17)</t>
  </si>
  <si>
    <t>d=200 мм, пол. L=2,3 км</t>
  </si>
  <si>
    <t>ФГУП РФЯЦ-ВНИИЭФ Энергоуправление</t>
  </si>
  <si>
    <t>Реконструкция теплосети кварталов 27, 26д 988 м в 2-х тр. измерении</t>
  </si>
  <si>
    <t>Реконструкция теплосети "Старого города". Участок от К-121 до К-1 59 м в 2-х тр. измерении</t>
  </si>
  <si>
    <t>Реконструкция теплосети квартала 24д (с ответвлением и перемычкой ГВС по ул.Чапаева) 1170 м в 2-х тр. измерении</t>
  </si>
  <si>
    <t>Реконструкция теплосети квартала 26 914 м в 2-х тр.измерении</t>
  </si>
  <si>
    <t>Модернизация оборудования ЦТП №5 (замена насосов)</t>
  </si>
  <si>
    <t>Реконструкция теплосети квартала 28 529 м в 2-х тр. измерении</t>
  </si>
  <si>
    <t>Реконструкция теплосети квартала 11  36 м в 2-х тр. измрении</t>
  </si>
  <si>
    <t>Реконструкция теплосети "Старого города". Участок от К-119 до К-120  50 м в 2-х  тр. измерении</t>
  </si>
  <si>
    <t>Реконструкция теплосети кварталов 22д, 23д  1392м в 2-х тр.измерении</t>
  </si>
  <si>
    <t>Модернизация оборудования ЦТП №14/1  (замена насосов)</t>
  </si>
  <si>
    <t>Модернизация оборудования ЦТП №16 (замена насосов)</t>
  </si>
  <si>
    <t>Реконструкция теплосети по улице Зернова от К-3-3 до К-3-4 к жилым домам № 42-48  52 м в 2-х тр.измерении</t>
  </si>
  <si>
    <t>Реконструкция теплосети по улице Зернова от К-3-9 до К-3-10 к жилым домам №50-56 48 м в 2-х тр. измерении</t>
  </si>
  <si>
    <t>Реконструкция теплосети Коммунального квартала 1234 м в 2-х труб. измерении</t>
  </si>
  <si>
    <t>Реконструкция теплосети квартала №20 842 м  в 2-х тр. измерении</t>
  </si>
  <si>
    <t>ИТОГО</t>
  </si>
  <si>
    <t>ФГУДП "Обеспечение РФЯЦ-ВНИИЭФ"</t>
  </si>
  <si>
    <t>Истечение расчетного срока службы. Физический износ. По результа-там диагностики</t>
  </si>
  <si>
    <t>1170 м в 2-х тр.измерении</t>
  </si>
  <si>
    <t>Реконструкция теплосети "Старого города"  2137 м в 2-х тр. измерении</t>
  </si>
  <si>
    <t>Реконструкция теплосети кварталов 17 и 1а 1025 м в 2-х труб. измерении</t>
  </si>
  <si>
    <t>Реконструкция теплосети квартала 18  1004 м в 2-х тр. измерении</t>
  </si>
  <si>
    <t>Увеличение нагрузки на ГВС</t>
  </si>
  <si>
    <t>Производительность 150 м3/ч</t>
  </si>
  <si>
    <t>Производительность 200 м3/ч</t>
  </si>
  <si>
    <t>59 м в 2-х тр.измерении</t>
  </si>
  <si>
    <t>988 м в 2-х тр.измерении</t>
  </si>
  <si>
    <t>914 м в 2-х тр.измерении</t>
  </si>
  <si>
    <t>529 м в 2-х тр.измерении</t>
  </si>
  <si>
    <t>36 м в 2-х тр.измерении</t>
  </si>
  <si>
    <t>50 м в 2-х тр.измерении</t>
  </si>
  <si>
    <t>1392 м в 2-х тр.измерении</t>
  </si>
  <si>
    <t>1004 м в 2-х тр.измерении</t>
  </si>
  <si>
    <t>1025 м в 2-х тр.измерении</t>
  </si>
  <si>
    <t>52 м в 2-х тр.измерении</t>
  </si>
  <si>
    <t>48 м в 2-х тр.измерении</t>
  </si>
  <si>
    <t>1234 м в 2-х тр.измерении</t>
  </si>
  <si>
    <t>842 м в 2-х тр.измерении</t>
  </si>
  <si>
    <t>2137 м в 2-х тр.измерении</t>
  </si>
  <si>
    <t>Реконструкция объектов теплосети 2-я очередь</t>
  </si>
  <si>
    <t>ИТОГО по объектам 1-я очередь:</t>
  </si>
  <si>
    <t>Реконструкция объектов теплосети 1-я очередь</t>
  </si>
  <si>
    <t>ИТОГО по объектам теплосети 2-я очередь:</t>
  </si>
  <si>
    <t>Адресная программа модернизации объектов инфраструктуры</t>
  </si>
  <si>
    <t>Реконструкция колодцев 1-14,   2-9  с заменой запорной арматуры</t>
  </si>
  <si>
    <t>СЕТИ ЭЛЕКТРОСНАБЖЕНИЯ</t>
  </si>
  <si>
    <t>СЕТИ ТЕПЛОСНАБЖЕНИЯ</t>
  </si>
  <si>
    <t>СЕТИ  ГАЗОСНАБЖЕНИЯ</t>
  </si>
  <si>
    <t>ОБЪЕКТЫ УТИЛИЗАЦИИ (ЗАХОРОНЕНИЯ) ТВЕРДЫХ БЫТОВЫХ ОТХОДОВ</t>
  </si>
  <si>
    <t>Реконструкция полигона ТБО участок сортировки и переработки отходов</t>
  </si>
  <si>
    <t>Муниципальная</t>
  </si>
  <si>
    <t>Более полная утилизация отходов, использование отходов в качестве вторичного сырья.</t>
  </si>
  <si>
    <t>СЕТИ ВОДООТВЕДЕНИЯ И ОЧИСТКИ СТОЧНЫХ ВОД (ХОЗЯЙСТВЕННО-БЫТОВЫХ И ЛИВНЕВЫХ)</t>
  </si>
  <si>
    <t>Очистные сооружения ливневой канализации</t>
  </si>
  <si>
    <t>Очистные сооружения. Изменение схемы электроснабжения (питание с РП-15)</t>
  </si>
  <si>
    <t>Повышение надежности электроснабжения очистных сооружений, предотвращение возможных сбросов</t>
  </si>
  <si>
    <t>Питание осуществляется через несколько ТП  от ГПП-40</t>
  </si>
  <si>
    <t>Резервное питание от шин ГРУ ТЭЦ</t>
  </si>
  <si>
    <t>Водозаборные сооружения. Изменение схемы электроснабжения (строительство новой РП)</t>
  </si>
  <si>
    <t>Повышение надежности электроснабжения водозаборных сооружений.</t>
  </si>
  <si>
    <t>Организация учета электроэнергии необходимой для наружного освещения по факту</t>
  </si>
  <si>
    <t>Отсутствие приборов учета</t>
  </si>
  <si>
    <t>100% учет расхода электроэнергии</t>
  </si>
  <si>
    <t xml:space="preserve">СЕТИ ВОДОСНАБЖЕНИЯ </t>
  </si>
  <si>
    <t xml:space="preserve"> Расходы на адресную программу модернизации объектов коммунальной инфраструктуры по источникам финансирования</t>
  </si>
  <si>
    <t>МУП "Горводоканал"</t>
  </si>
  <si>
    <t>ПСД в стадии согласования</t>
  </si>
  <si>
    <t>ПСД в стадии разработки</t>
  </si>
  <si>
    <t>в том числе за счет инвестиционной надбавки</t>
  </si>
  <si>
    <t>ПСД находится в стадии разработки</t>
  </si>
  <si>
    <t>ПСД находится в стадии согласования</t>
  </si>
  <si>
    <t>ПСД находится в стадии утверждения</t>
  </si>
  <si>
    <t>Инвест.надбавка</t>
  </si>
  <si>
    <t>Приложение №2</t>
  </si>
  <si>
    <t>Реконструкция ливневой канализации по ул.Силкина д.6 (замена и увеличение диаметра коллектора)</t>
  </si>
  <si>
    <t>Реконструкция ливневой канализации по ул.Ушакова (замена и увефличение диаметра коллектора)</t>
  </si>
  <si>
    <t>Реконструкция ливневой канализации по пр.Музрукова (полная реконструкция дождеприемных решеток,  водопропускных труб и выпуска)</t>
  </si>
  <si>
    <t xml:space="preserve">Реконструкция ливневой канализации по ул.Курчатова д.22/1 </t>
  </si>
  <si>
    <t>Реконструкция ливневой канализации по ул.Балакирева-ул.Гоголя</t>
  </si>
  <si>
    <t>Реконструкция ливневой канализации по ул.Котовского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</si>
</sst>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.0"/>
    <numFmt numFmtId="171" formatCode="#,##0.0_ ;[Red]\-#,##0.0\ "/>
    <numFmt numFmtId="172" formatCode="0.0%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vertAlign val="subscript"/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i/>
      <sz val="8"/>
      <name val="Times New Roman Cyr"/>
      <family val="0"/>
    </font>
    <font>
      <b/>
      <sz val="8"/>
      <name val="Times New Roman"/>
      <family val="1"/>
    </font>
    <font>
      <sz val="9"/>
      <name val="Times New Roman Cyr"/>
      <family val="1"/>
    </font>
    <font>
      <i/>
      <sz val="10"/>
      <name val="Times New Roman Cyr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1" xfId="0" applyFont="1" applyBorder="1" applyAlignment="1">
      <alignment wrapText="1"/>
    </xf>
    <xf numFmtId="10" fontId="7" fillId="0" borderId="0" xfId="0" applyNumberFormat="1" applyFont="1" applyAlignment="1">
      <alignment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16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169" fontId="17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169" fontId="23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0" fontId="12" fillId="0" borderId="1" xfId="0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0" fontId="14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10" fontId="7" fillId="0" borderId="0" xfId="0" applyNumberFormat="1" applyFont="1" applyFill="1" applyAlignment="1">
      <alignment/>
    </xf>
    <xf numFmtId="169" fontId="17" fillId="0" borderId="3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/>
      <protection locked="0"/>
    </xf>
    <xf numFmtId="1" fontId="17" fillId="0" borderId="1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1" fontId="12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169" fontId="3" fillId="0" borderId="0" xfId="0" applyNumberFormat="1" applyFont="1" applyFill="1" applyAlignment="1">
      <alignment horizontal="left" vertical="top"/>
    </xf>
    <xf numFmtId="0" fontId="2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" fontId="12" fillId="0" borderId="1" xfId="0" applyNumberFormat="1" applyFont="1" applyFill="1" applyBorder="1" applyAlignment="1" applyProtection="1">
      <alignment horizontal="center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1" fontId="17" fillId="0" borderId="1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7" fillId="0" borderId="1" xfId="0" applyNumberFormat="1" applyFont="1" applyFill="1" applyBorder="1" applyAlignment="1" applyProtection="1">
      <alignment horizontal="center"/>
      <protection/>
    </xf>
    <xf numFmtId="164" fontId="23" fillId="0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71" fontId="23" fillId="0" borderId="1" xfId="0" applyNumberFormat="1" applyFont="1" applyFill="1" applyBorder="1" applyAlignment="1">
      <alignment horizontal="center"/>
    </xf>
    <xf numFmtId="171" fontId="23" fillId="0" borderId="1" xfId="0" applyNumberFormat="1" applyFont="1" applyFill="1" applyBorder="1" applyAlignment="1">
      <alignment/>
    </xf>
    <xf numFmtId="171" fontId="17" fillId="0" borderId="1" xfId="0" applyNumberFormat="1" applyFont="1" applyBorder="1" applyAlignment="1">
      <alignment horizontal="center" vertical="center"/>
    </xf>
    <xf numFmtId="171" fontId="1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9" fontId="7" fillId="0" borderId="0" xfId="0" applyNumberFormat="1" applyFont="1" applyFill="1" applyAlignment="1">
      <alignment horizontal="center"/>
    </xf>
    <xf numFmtId="9" fontId="7" fillId="0" borderId="0" xfId="0" applyNumberFormat="1" applyFont="1" applyFill="1" applyAlignment="1">
      <alignment/>
    </xf>
    <xf numFmtId="9" fontId="7" fillId="0" borderId="1" xfId="0" applyNumberFormat="1" applyFont="1" applyFill="1" applyBorder="1" applyAlignment="1">
      <alignment horizontal="center"/>
    </xf>
    <xf numFmtId="171" fontId="7" fillId="0" borderId="0" xfId="0" applyNumberFormat="1" applyFont="1" applyFill="1" applyAlignment="1">
      <alignment/>
    </xf>
    <xf numFmtId="1" fontId="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/>
    </xf>
    <xf numFmtId="171" fontId="7" fillId="0" borderId="0" xfId="0" applyNumberFormat="1" applyFont="1" applyAlignment="1">
      <alignment/>
    </xf>
    <xf numFmtId="170" fontId="23" fillId="0" borderId="1" xfId="0" applyNumberFormat="1" applyFont="1" applyFill="1" applyBorder="1" applyAlignment="1">
      <alignment horizontal="center" vertical="center"/>
    </xf>
    <xf numFmtId="171" fontId="7" fillId="0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5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1" fontId="13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6"/>
  <sheetViews>
    <sheetView tabSelected="1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3" sqref="Q3:S3"/>
    </sheetView>
  </sheetViews>
  <sheetFormatPr defaultColWidth="9.00390625" defaultRowHeight="12.75"/>
  <cols>
    <col min="1" max="1" width="2.875" style="23" customWidth="1"/>
    <col min="2" max="2" width="19.875" style="23" customWidth="1"/>
    <col min="3" max="3" width="9.125" style="23" customWidth="1"/>
    <col min="4" max="4" width="8.00390625" style="23" customWidth="1"/>
    <col min="5" max="5" width="6.875" style="23" customWidth="1"/>
    <col min="6" max="6" width="9.25390625" style="23" customWidth="1"/>
    <col min="7" max="7" width="8.625" style="23" customWidth="1"/>
    <col min="8" max="8" width="9.375" style="23" customWidth="1"/>
    <col min="9" max="9" width="15.125" style="23" customWidth="1"/>
    <col min="10" max="10" width="7.25390625" style="23" customWidth="1"/>
    <col min="11" max="11" width="11.00390625" style="23" customWidth="1"/>
    <col min="12" max="12" width="11.125" style="23" customWidth="1"/>
    <col min="13" max="13" width="9.75390625" style="23" customWidth="1"/>
    <col min="14" max="14" width="12.625" style="23" customWidth="1"/>
    <col min="15" max="15" width="7.00390625" style="23" customWidth="1"/>
    <col min="16" max="16" width="8.625" style="23" customWidth="1"/>
    <col min="17" max="18" width="8.375" style="23" bestFit="1" customWidth="1"/>
    <col min="19" max="19" width="8.00390625" style="23" bestFit="1" customWidth="1"/>
    <col min="20" max="16384" width="9.125" style="23" customWidth="1"/>
  </cols>
  <sheetData>
    <row r="1" ht="12.75"/>
    <row r="2" spans="2:19" ht="15.75">
      <c r="B2" s="160" t="s">
        <v>54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25"/>
      <c r="S2" s="25"/>
    </row>
    <row r="3" spans="2:19" ht="15.75">
      <c r="B3" s="24" t="s">
        <v>274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59" t="s">
        <v>302</v>
      </c>
      <c r="R3" s="159"/>
      <c r="S3" s="159"/>
    </row>
    <row r="4" spans="1:19" ht="41.25" customHeight="1">
      <c r="A4" s="161" t="s">
        <v>0</v>
      </c>
      <c r="B4" s="157" t="s">
        <v>55</v>
      </c>
      <c r="C4" s="157" t="s">
        <v>56</v>
      </c>
      <c r="D4" s="157" t="s">
        <v>57</v>
      </c>
      <c r="E4" s="157" t="s">
        <v>58</v>
      </c>
      <c r="F4" s="157" t="s">
        <v>59</v>
      </c>
      <c r="G4" s="157" t="s">
        <v>60</v>
      </c>
      <c r="H4" s="157" t="s">
        <v>13</v>
      </c>
      <c r="I4" s="157" t="s">
        <v>14</v>
      </c>
      <c r="J4" s="157" t="s">
        <v>15</v>
      </c>
      <c r="K4" s="157" t="s">
        <v>16</v>
      </c>
      <c r="L4" s="157" t="s">
        <v>61</v>
      </c>
      <c r="M4" s="157" t="s">
        <v>62</v>
      </c>
      <c r="N4" s="152" t="s">
        <v>63</v>
      </c>
      <c r="O4" s="152"/>
      <c r="P4" s="152"/>
      <c r="Q4" s="152"/>
      <c r="R4" s="152"/>
      <c r="S4" s="152"/>
    </row>
    <row r="5" spans="1:19" ht="24">
      <c r="A5" s="162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28" t="s">
        <v>22</v>
      </c>
      <c r="O5" s="29">
        <v>2006</v>
      </c>
      <c r="P5" s="29">
        <v>2007</v>
      </c>
      <c r="Q5" s="29">
        <v>2008</v>
      </c>
      <c r="R5" s="29">
        <v>2009</v>
      </c>
      <c r="S5" s="29">
        <v>2010</v>
      </c>
    </row>
    <row r="6" spans="1:19" ht="12.75">
      <c r="A6" s="30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9">
        <v>15</v>
      </c>
      <c r="P6" s="29">
        <v>16</v>
      </c>
      <c r="Q6" s="29">
        <v>17</v>
      </c>
      <c r="R6" s="29">
        <v>18</v>
      </c>
      <c r="S6" s="29">
        <v>19</v>
      </c>
    </row>
    <row r="7" spans="1:19" ht="24">
      <c r="A7" s="140">
        <v>1</v>
      </c>
      <c r="B7" s="142" t="s">
        <v>64</v>
      </c>
      <c r="C7" s="145" t="s">
        <v>65</v>
      </c>
      <c r="D7" s="142">
        <v>1956</v>
      </c>
      <c r="E7" s="144">
        <v>30</v>
      </c>
      <c r="F7" s="144">
        <v>3.8</v>
      </c>
      <c r="G7" s="145">
        <v>2.1</v>
      </c>
      <c r="H7" s="145">
        <v>2003</v>
      </c>
      <c r="I7" s="146" t="s">
        <v>66</v>
      </c>
      <c r="J7" s="145">
        <v>2005</v>
      </c>
      <c r="K7" s="145" t="s">
        <v>67</v>
      </c>
      <c r="L7" s="145" t="s">
        <v>68</v>
      </c>
      <c r="M7" s="139">
        <f>SUM(O7:S9)</f>
        <v>947</v>
      </c>
      <c r="N7" s="32" t="s">
        <v>19</v>
      </c>
      <c r="O7" s="56"/>
      <c r="P7" s="56"/>
      <c r="Q7" s="56"/>
      <c r="R7" s="56"/>
      <c r="S7" s="56"/>
    </row>
    <row r="8" spans="1:19" ht="24">
      <c r="A8" s="140"/>
      <c r="B8" s="142"/>
      <c r="C8" s="145"/>
      <c r="D8" s="142"/>
      <c r="E8" s="144"/>
      <c r="F8" s="144"/>
      <c r="G8" s="145"/>
      <c r="H8" s="145"/>
      <c r="I8" s="147"/>
      <c r="J8" s="145"/>
      <c r="K8" s="145"/>
      <c r="L8" s="145"/>
      <c r="M8" s="139"/>
      <c r="N8" s="32" t="s">
        <v>69</v>
      </c>
      <c r="O8" s="56"/>
      <c r="P8" s="56"/>
      <c r="Q8" s="56"/>
      <c r="R8" s="56"/>
      <c r="S8" s="56"/>
    </row>
    <row r="9" spans="1:20" ht="24">
      <c r="A9" s="141"/>
      <c r="B9" s="142"/>
      <c r="C9" s="145"/>
      <c r="D9" s="142"/>
      <c r="E9" s="144"/>
      <c r="F9" s="144"/>
      <c r="G9" s="145"/>
      <c r="H9" s="145"/>
      <c r="I9" s="148"/>
      <c r="J9" s="145"/>
      <c r="K9" s="145"/>
      <c r="L9" s="145"/>
      <c r="M9" s="139"/>
      <c r="N9" s="32" t="s">
        <v>21</v>
      </c>
      <c r="O9" s="57">
        <v>947</v>
      </c>
      <c r="P9" s="57"/>
      <c r="Q9" s="57"/>
      <c r="R9" s="57"/>
      <c r="S9" s="56"/>
      <c r="T9" s="58"/>
    </row>
    <row r="10" spans="1:19" ht="24">
      <c r="A10" s="140">
        <v>2</v>
      </c>
      <c r="B10" s="142" t="s">
        <v>70</v>
      </c>
      <c r="C10" s="145" t="s">
        <v>65</v>
      </c>
      <c r="D10" s="146">
        <v>1957</v>
      </c>
      <c r="E10" s="154">
        <v>30</v>
      </c>
      <c r="F10" s="154">
        <v>240</v>
      </c>
      <c r="G10" s="145" t="s">
        <v>71</v>
      </c>
      <c r="H10" s="145">
        <v>2004</v>
      </c>
      <c r="I10" s="146" t="s">
        <v>72</v>
      </c>
      <c r="J10" s="145">
        <v>2004</v>
      </c>
      <c r="K10" s="145" t="s">
        <v>73</v>
      </c>
      <c r="L10" s="145" t="s">
        <v>74</v>
      </c>
      <c r="M10" s="139">
        <f>SUM(O10:S12)</f>
        <v>630</v>
      </c>
      <c r="N10" s="32" t="s">
        <v>19</v>
      </c>
      <c r="O10" s="57"/>
      <c r="P10" s="57"/>
      <c r="Q10" s="57"/>
      <c r="R10" s="57"/>
      <c r="S10" s="56"/>
    </row>
    <row r="11" spans="1:19" ht="24">
      <c r="A11" s="140"/>
      <c r="B11" s="142"/>
      <c r="C11" s="145"/>
      <c r="D11" s="147"/>
      <c r="E11" s="155"/>
      <c r="F11" s="155"/>
      <c r="G11" s="145"/>
      <c r="H11" s="145"/>
      <c r="I11" s="147"/>
      <c r="J11" s="145"/>
      <c r="K11" s="145"/>
      <c r="L11" s="145"/>
      <c r="M11" s="139"/>
      <c r="N11" s="32" t="s">
        <v>69</v>
      </c>
      <c r="O11" s="57"/>
      <c r="P11" s="57"/>
      <c r="Q11" s="57"/>
      <c r="R11" s="57"/>
      <c r="S11" s="56"/>
    </row>
    <row r="12" spans="1:20" ht="24">
      <c r="A12" s="141"/>
      <c r="B12" s="142"/>
      <c r="C12" s="145"/>
      <c r="D12" s="148"/>
      <c r="E12" s="156"/>
      <c r="F12" s="156"/>
      <c r="G12" s="145"/>
      <c r="H12" s="145"/>
      <c r="I12" s="148"/>
      <c r="J12" s="145"/>
      <c r="K12" s="145"/>
      <c r="L12" s="145"/>
      <c r="M12" s="139"/>
      <c r="N12" s="32" t="s">
        <v>21</v>
      </c>
      <c r="O12" s="57">
        <v>630</v>
      </c>
      <c r="P12" s="57"/>
      <c r="Q12" s="57"/>
      <c r="R12" s="57"/>
      <c r="S12" s="56"/>
      <c r="T12" s="58"/>
    </row>
    <row r="13" spans="1:19" ht="24" customHeight="1">
      <c r="A13" s="140">
        <v>3</v>
      </c>
      <c r="B13" s="142" t="s">
        <v>75</v>
      </c>
      <c r="C13" s="145" t="s">
        <v>65</v>
      </c>
      <c r="D13" s="142">
        <v>1957</v>
      </c>
      <c r="E13" s="144">
        <v>30</v>
      </c>
      <c r="F13" s="144">
        <v>240</v>
      </c>
      <c r="G13" s="145"/>
      <c r="H13" s="145"/>
      <c r="I13" s="146" t="s">
        <v>76</v>
      </c>
      <c r="J13" s="149" t="s">
        <v>295</v>
      </c>
      <c r="K13" s="145" t="s">
        <v>77</v>
      </c>
      <c r="L13" s="145" t="s">
        <v>78</v>
      </c>
      <c r="M13" s="139">
        <f>SUM(O13:S15)</f>
        <v>2100</v>
      </c>
      <c r="N13" s="32" t="s">
        <v>19</v>
      </c>
      <c r="O13" s="57"/>
      <c r="P13" s="57"/>
      <c r="Q13" s="57"/>
      <c r="R13" s="57"/>
      <c r="S13" s="56"/>
    </row>
    <row r="14" spans="1:19" ht="24" customHeight="1">
      <c r="A14" s="140"/>
      <c r="B14" s="142"/>
      <c r="C14" s="145"/>
      <c r="D14" s="142"/>
      <c r="E14" s="144"/>
      <c r="F14" s="144"/>
      <c r="G14" s="145"/>
      <c r="H14" s="145"/>
      <c r="I14" s="147"/>
      <c r="J14" s="149"/>
      <c r="K14" s="145"/>
      <c r="L14" s="145"/>
      <c r="M14" s="139"/>
      <c r="N14" s="32" t="s">
        <v>69</v>
      </c>
      <c r="O14" s="57"/>
      <c r="P14" s="57"/>
      <c r="Q14" s="57"/>
      <c r="R14" s="57"/>
      <c r="S14" s="56"/>
    </row>
    <row r="15" spans="1:20" ht="30.75" customHeight="1">
      <c r="A15" s="141"/>
      <c r="B15" s="142"/>
      <c r="C15" s="145"/>
      <c r="D15" s="142"/>
      <c r="E15" s="144"/>
      <c r="F15" s="144"/>
      <c r="G15" s="145"/>
      <c r="H15" s="145"/>
      <c r="I15" s="148"/>
      <c r="J15" s="149"/>
      <c r="K15" s="145"/>
      <c r="L15" s="145"/>
      <c r="M15" s="139"/>
      <c r="N15" s="32" t="s">
        <v>21</v>
      </c>
      <c r="O15" s="57"/>
      <c r="P15" s="57"/>
      <c r="Q15" s="57">
        <v>1000</v>
      </c>
      <c r="R15" s="57">
        <v>1100</v>
      </c>
      <c r="S15" s="56"/>
      <c r="T15" s="58"/>
    </row>
    <row r="16" spans="1:19" ht="24" customHeight="1">
      <c r="A16" s="140">
        <v>4</v>
      </c>
      <c r="B16" s="142" t="s">
        <v>79</v>
      </c>
      <c r="C16" s="145" t="s">
        <v>65</v>
      </c>
      <c r="D16" s="146">
        <v>1956</v>
      </c>
      <c r="E16" s="154">
        <v>30</v>
      </c>
      <c r="F16" s="154">
        <v>28</v>
      </c>
      <c r="G16" s="145" t="s">
        <v>71</v>
      </c>
      <c r="H16" s="145">
        <v>2005</v>
      </c>
      <c r="I16" s="146" t="s">
        <v>80</v>
      </c>
      <c r="J16" s="145">
        <v>2006</v>
      </c>
      <c r="K16" s="145" t="s">
        <v>81</v>
      </c>
      <c r="L16" s="145" t="s">
        <v>82</v>
      </c>
      <c r="M16" s="139">
        <f>SUM(O16:S18)</f>
        <v>320</v>
      </c>
      <c r="N16" s="32" t="s">
        <v>19</v>
      </c>
      <c r="O16" s="57"/>
      <c r="P16" s="57"/>
      <c r="Q16" s="57"/>
      <c r="R16" s="57"/>
      <c r="S16" s="56"/>
    </row>
    <row r="17" spans="1:19" ht="24" customHeight="1">
      <c r="A17" s="140"/>
      <c r="B17" s="142"/>
      <c r="C17" s="145"/>
      <c r="D17" s="147"/>
      <c r="E17" s="155"/>
      <c r="F17" s="155"/>
      <c r="G17" s="145"/>
      <c r="H17" s="145"/>
      <c r="I17" s="147"/>
      <c r="J17" s="145"/>
      <c r="K17" s="145"/>
      <c r="L17" s="145"/>
      <c r="M17" s="139"/>
      <c r="N17" s="32" t="s">
        <v>69</v>
      </c>
      <c r="O17" s="57"/>
      <c r="P17" s="57"/>
      <c r="Q17" s="57"/>
      <c r="R17" s="57"/>
      <c r="S17" s="56"/>
    </row>
    <row r="18" spans="1:20" ht="24" customHeight="1">
      <c r="A18" s="141"/>
      <c r="B18" s="142"/>
      <c r="C18" s="145"/>
      <c r="D18" s="148"/>
      <c r="E18" s="156"/>
      <c r="F18" s="156"/>
      <c r="G18" s="145"/>
      <c r="H18" s="145"/>
      <c r="I18" s="148"/>
      <c r="J18" s="145"/>
      <c r="K18" s="145"/>
      <c r="L18" s="145"/>
      <c r="M18" s="139"/>
      <c r="N18" s="32" t="s">
        <v>21</v>
      </c>
      <c r="O18" s="57"/>
      <c r="P18" s="57">
        <v>320</v>
      </c>
      <c r="Q18" s="57"/>
      <c r="R18" s="57"/>
      <c r="S18" s="56"/>
      <c r="T18" s="58"/>
    </row>
    <row r="19" spans="1:19" ht="24" customHeight="1">
      <c r="A19" s="140">
        <v>5</v>
      </c>
      <c r="B19" s="142" t="s">
        <v>83</v>
      </c>
      <c r="C19" s="145" t="s">
        <v>65</v>
      </c>
      <c r="D19" s="142">
        <v>1956</v>
      </c>
      <c r="E19" s="154">
        <v>30</v>
      </c>
      <c r="F19" s="154">
        <v>138</v>
      </c>
      <c r="G19" s="145" t="s">
        <v>71</v>
      </c>
      <c r="H19" s="145"/>
      <c r="I19" s="146" t="s">
        <v>72</v>
      </c>
      <c r="J19" s="149" t="s">
        <v>295</v>
      </c>
      <c r="K19" s="145" t="s">
        <v>84</v>
      </c>
      <c r="L19" s="145" t="s">
        <v>85</v>
      </c>
      <c r="M19" s="139">
        <f>SUM(O19:S21)</f>
        <v>1000</v>
      </c>
      <c r="N19" s="32" t="s">
        <v>19</v>
      </c>
      <c r="O19" s="57"/>
      <c r="P19" s="57"/>
      <c r="Q19" s="57"/>
      <c r="R19" s="57"/>
      <c r="S19" s="56"/>
    </row>
    <row r="20" spans="1:19" ht="24" customHeight="1">
      <c r="A20" s="140"/>
      <c r="B20" s="142"/>
      <c r="C20" s="145"/>
      <c r="D20" s="142"/>
      <c r="E20" s="155"/>
      <c r="F20" s="155"/>
      <c r="G20" s="145"/>
      <c r="H20" s="145"/>
      <c r="I20" s="147"/>
      <c r="J20" s="149"/>
      <c r="K20" s="145"/>
      <c r="L20" s="145"/>
      <c r="M20" s="139"/>
      <c r="N20" s="32" t="s">
        <v>69</v>
      </c>
      <c r="O20" s="57"/>
      <c r="P20" s="57"/>
      <c r="Q20" s="57"/>
      <c r="R20" s="57"/>
      <c r="S20" s="56"/>
    </row>
    <row r="21" spans="1:20" ht="24" customHeight="1">
      <c r="A21" s="141"/>
      <c r="B21" s="142"/>
      <c r="C21" s="145"/>
      <c r="D21" s="142"/>
      <c r="E21" s="156"/>
      <c r="F21" s="156"/>
      <c r="G21" s="145"/>
      <c r="H21" s="145"/>
      <c r="I21" s="148"/>
      <c r="J21" s="149"/>
      <c r="K21" s="145"/>
      <c r="L21" s="145"/>
      <c r="M21" s="139"/>
      <c r="N21" s="32" t="s">
        <v>21</v>
      </c>
      <c r="O21" s="57"/>
      <c r="P21" s="57"/>
      <c r="Q21" s="57"/>
      <c r="R21" s="57">
        <v>500</v>
      </c>
      <c r="S21" s="56">
        <v>500</v>
      </c>
      <c r="T21" s="58"/>
    </row>
    <row r="22" spans="1:19" ht="24" customHeight="1">
      <c r="A22" s="140">
        <v>6</v>
      </c>
      <c r="B22" s="142" t="s">
        <v>86</v>
      </c>
      <c r="C22" s="145" t="s">
        <v>65</v>
      </c>
      <c r="D22" s="142">
        <v>1956</v>
      </c>
      <c r="E22" s="154">
        <v>30</v>
      </c>
      <c r="F22" s="154">
        <v>53</v>
      </c>
      <c r="G22" s="145" t="s">
        <v>71</v>
      </c>
      <c r="H22" s="145"/>
      <c r="I22" s="146" t="s">
        <v>72</v>
      </c>
      <c r="J22" s="149" t="s">
        <v>295</v>
      </c>
      <c r="K22" s="145" t="s">
        <v>87</v>
      </c>
      <c r="L22" s="145" t="s">
        <v>88</v>
      </c>
      <c r="M22" s="139">
        <f>SUM(O22:S24)</f>
        <v>700</v>
      </c>
      <c r="N22" s="32" t="s">
        <v>19</v>
      </c>
      <c r="O22" s="57"/>
      <c r="P22" s="57"/>
      <c r="Q22" s="57"/>
      <c r="R22" s="57"/>
      <c r="S22" s="56"/>
    </row>
    <row r="23" spans="1:19" ht="24" customHeight="1">
      <c r="A23" s="140"/>
      <c r="B23" s="142"/>
      <c r="C23" s="145"/>
      <c r="D23" s="142"/>
      <c r="E23" s="155"/>
      <c r="F23" s="155"/>
      <c r="G23" s="145"/>
      <c r="H23" s="145"/>
      <c r="I23" s="147"/>
      <c r="J23" s="149"/>
      <c r="K23" s="145"/>
      <c r="L23" s="145"/>
      <c r="M23" s="139"/>
      <c r="N23" s="32" t="s">
        <v>69</v>
      </c>
      <c r="O23" s="57"/>
      <c r="P23" s="57"/>
      <c r="Q23" s="57"/>
      <c r="R23" s="57"/>
      <c r="S23" s="56"/>
    </row>
    <row r="24" spans="1:20" ht="24" customHeight="1">
      <c r="A24" s="141"/>
      <c r="B24" s="142"/>
      <c r="C24" s="145"/>
      <c r="D24" s="142"/>
      <c r="E24" s="156"/>
      <c r="F24" s="156"/>
      <c r="G24" s="145"/>
      <c r="H24" s="145"/>
      <c r="I24" s="148"/>
      <c r="J24" s="149"/>
      <c r="K24" s="145"/>
      <c r="L24" s="145"/>
      <c r="M24" s="139"/>
      <c r="N24" s="32" t="s">
        <v>21</v>
      </c>
      <c r="O24" s="57"/>
      <c r="P24" s="57"/>
      <c r="Q24" s="57">
        <v>300</v>
      </c>
      <c r="R24" s="57">
        <v>300</v>
      </c>
      <c r="S24" s="56">
        <v>100</v>
      </c>
      <c r="T24" s="58"/>
    </row>
    <row r="25" spans="1:19" ht="24" customHeight="1">
      <c r="A25" s="140">
        <v>7</v>
      </c>
      <c r="B25" s="142" t="s">
        <v>89</v>
      </c>
      <c r="C25" s="145" t="s">
        <v>65</v>
      </c>
      <c r="D25" s="142">
        <v>1956</v>
      </c>
      <c r="E25" s="154">
        <v>30</v>
      </c>
      <c r="F25" s="154">
        <v>4.7</v>
      </c>
      <c r="G25" s="145">
        <v>2.6</v>
      </c>
      <c r="H25" s="145">
        <v>2003</v>
      </c>
      <c r="I25" s="146" t="s">
        <v>66</v>
      </c>
      <c r="J25" s="149" t="s">
        <v>296</v>
      </c>
      <c r="K25" s="145" t="s">
        <v>90</v>
      </c>
      <c r="L25" s="145" t="s">
        <v>91</v>
      </c>
      <c r="M25" s="139">
        <f>SUM(O25:S27)</f>
        <v>1800</v>
      </c>
      <c r="N25" s="32" t="s">
        <v>19</v>
      </c>
      <c r="O25" s="57"/>
      <c r="P25" s="57"/>
      <c r="Q25" s="57"/>
      <c r="R25" s="57"/>
      <c r="S25" s="56"/>
    </row>
    <row r="26" spans="1:19" ht="24" customHeight="1">
      <c r="A26" s="140"/>
      <c r="B26" s="142"/>
      <c r="C26" s="145"/>
      <c r="D26" s="142"/>
      <c r="E26" s="155"/>
      <c r="F26" s="155"/>
      <c r="G26" s="145"/>
      <c r="H26" s="145"/>
      <c r="I26" s="147"/>
      <c r="J26" s="149"/>
      <c r="K26" s="145"/>
      <c r="L26" s="145"/>
      <c r="M26" s="139"/>
      <c r="N26" s="32" t="s">
        <v>69</v>
      </c>
      <c r="O26" s="57"/>
      <c r="P26" s="57"/>
      <c r="Q26" s="57"/>
      <c r="R26" s="57"/>
      <c r="S26" s="56"/>
    </row>
    <row r="27" spans="1:19" ht="24" customHeight="1">
      <c r="A27" s="141"/>
      <c r="B27" s="142"/>
      <c r="C27" s="145"/>
      <c r="D27" s="142"/>
      <c r="E27" s="156"/>
      <c r="F27" s="156"/>
      <c r="G27" s="145"/>
      <c r="H27" s="145"/>
      <c r="I27" s="148"/>
      <c r="J27" s="149"/>
      <c r="K27" s="145"/>
      <c r="L27" s="145"/>
      <c r="M27" s="139"/>
      <c r="N27" s="32" t="s">
        <v>21</v>
      </c>
      <c r="O27" s="57"/>
      <c r="P27" s="57"/>
      <c r="Q27" s="57">
        <v>600</v>
      </c>
      <c r="R27" s="57">
        <v>600</v>
      </c>
      <c r="S27" s="56">
        <v>600</v>
      </c>
    </row>
    <row r="28" spans="1:19" ht="24" customHeight="1">
      <c r="A28" s="140">
        <v>8</v>
      </c>
      <c r="B28" s="142" t="s">
        <v>92</v>
      </c>
      <c r="C28" s="143" t="s">
        <v>93</v>
      </c>
      <c r="D28" s="142">
        <v>1954</v>
      </c>
      <c r="E28" s="144">
        <v>30</v>
      </c>
      <c r="F28" s="144">
        <v>16.8</v>
      </c>
      <c r="G28" s="145" t="s">
        <v>71</v>
      </c>
      <c r="H28" s="145">
        <v>2004</v>
      </c>
      <c r="I28" s="146" t="s">
        <v>72</v>
      </c>
      <c r="J28" s="149" t="s">
        <v>296</v>
      </c>
      <c r="K28" s="145" t="s">
        <v>94</v>
      </c>
      <c r="L28" s="145" t="s">
        <v>95</v>
      </c>
      <c r="M28" s="139">
        <f>SUM(O28:S30)</f>
        <v>400</v>
      </c>
      <c r="N28" s="32" t="s">
        <v>19</v>
      </c>
      <c r="O28" s="57"/>
      <c r="P28" s="57"/>
      <c r="Q28" s="57"/>
      <c r="R28" s="57"/>
      <c r="S28" s="56"/>
    </row>
    <row r="29" spans="1:19" ht="24" customHeight="1">
      <c r="A29" s="140"/>
      <c r="B29" s="142"/>
      <c r="C29" s="133"/>
      <c r="D29" s="142"/>
      <c r="E29" s="144"/>
      <c r="F29" s="144"/>
      <c r="G29" s="145"/>
      <c r="H29" s="145"/>
      <c r="I29" s="147"/>
      <c r="J29" s="149"/>
      <c r="K29" s="145"/>
      <c r="L29" s="145"/>
      <c r="M29" s="139"/>
      <c r="N29" s="32" t="s">
        <v>69</v>
      </c>
      <c r="O29" s="57"/>
      <c r="P29" s="57"/>
      <c r="Q29" s="57"/>
      <c r="R29" s="57"/>
      <c r="S29" s="56"/>
    </row>
    <row r="30" spans="1:19" ht="24" customHeight="1">
      <c r="A30" s="141"/>
      <c r="B30" s="142"/>
      <c r="C30" s="134"/>
      <c r="D30" s="142"/>
      <c r="E30" s="144"/>
      <c r="F30" s="144"/>
      <c r="G30" s="145"/>
      <c r="H30" s="145"/>
      <c r="I30" s="148"/>
      <c r="J30" s="149"/>
      <c r="K30" s="145"/>
      <c r="L30" s="145"/>
      <c r="M30" s="139"/>
      <c r="N30" s="32" t="s">
        <v>21</v>
      </c>
      <c r="O30" s="57"/>
      <c r="P30" s="57"/>
      <c r="Q30" s="57"/>
      <c r="R30" s="57">
        <v>200</v>
      </c>
      <c r="S30" s="56">
        <v>200</v>
      </c>
    </row>
    <row r="31" spans="1:19" ht="24" customHeight="1">
      <c r="A31" s="140">
        <v>9</v>
      </c>
      <c r="B31" s="142" t="s">
        <v>96</v>
      </c>
      <c r="C31" s="143" t="s">
        <v>93</v>
      </c>
      <c r="D31" s="142">
        <v>1953</v>
      </c>
      <c r="E31" s="144"/>
      <c r="F31" s="144">
        <v>23</v>
      </c>
      <c r="G31" s="145" t="s">
        <v>71</v>
      </c>
      <c r="H31" s="145">
        <v>2002</v>
      </c>
      <c r="I31" s="146" t="s">
        <v>72</v>
      </c>
      <c r="J31" s="149" t="s">
        <v>296</v>
      </c>
      <c r="K31" s="145" t="s">
        <v>94</v>
      </c>
      <c r="L31" s="145" t="s">
        <v>95</v>
      </c>
      <c r="M31" s="139">
        <f>SUM(O31:S33)</f>
        <v>800</v>
      </c>
      <c r="N31" s="32" t="s">
        <v>19</v>
      </c>
      <c r="O31" s="57"/>
      <c r="P31" s="57"/>
      <c r="Q31" s="57"/>
      <c r="R31" s="57"/>
      <c r="S31" s="56"/>
    </row>
    <row r="32" spans="1:19" ht="24" customHeight="1">
      <c r="A32" s="140"/>
      <c r="B32" s="142"/>
      <c r="C32" s="133"/>
      <c r="D32" s="142"/>
      <c r="E32" s="144"/>
      <c r="F32" s="144"/>
      <c r="G32" s="145"/>
      <c r="H32" s="145"/>
      <c r="I32" s="147"/>
      <c r="J32" s="149"/>
      <c r="K32" s="145"/>
      <c r="L32" s="145"/>
      <c r="M32" s="139"/>
      <c r="N32" s="32" t="s">
        <v>69</v>
      </c>
      <c r="O32" s="57"/>
      <c r="P32" s="57"/>
      <c r="Q32" s="57"/>
      <c r="R32" s="57"/>
      <c r="S32" s="56"/>
    </row>
    <row r="33" spans="1:20" ht="24" customHeight="1">
      <c r="A33" s="141"/>
      <c r="B33" s="142"/>
      <c r="C33" s="134"/>
      <c r="D33" s="142"/>
      <c r="E33" s="144"/>
      <c r="F33" s="144"/>
      <c r="G33" s="145"/>
      <c r="H33" s="145"/>
      <c r="I33" s="148"/>
      <c r="J33" s="149"/>
      <c r="K33" s="145"/>
      <c r="L33" s="145"/>
      <c r="M33" s="139"/>
      <c r="N33" s="32" t="s">
        <v>21</v>
      </c>
      <c r="O33" s="57"/>
      <c r="P33" s="57"/>
      <c r="Q33" s="57"/>
      <c r="R33" s="57">
        <v>400</v>
      </c>
      <c r="S33" s="56">
        <v>400</v>
      </c>
      <c r="T33" s="58"/>
    </row>
    <row r="34" spans="1:20" ht="24" customHeight="1">
      <c r="A34" s="140">
        <v>10</v>
      </c>
      <c r="B34" s="142" t="s">
        <v>97</v>
      </c>
      <c r="C34" s="143" t="s">
        <v>93</v>
      </c>
      <c r="D34" s="142">
        <v>1952</v>
      </c>
      <c r="E34" s="144"/>
      <c r="F34" s="144">
        <v>238</v>
      </c>
      <c r="G34" s="145">
        <v>7</v>
      </c>
      <c r="H34" s="145">
        <v>2001</v>
      </c>
      <c r="I34" s="146" t="s">
        <v>72</v>
      </c>
      <c r="J34" s="149" t="s">
        <v>296</v>
      </c>
      <c r="K34" s="145" t="s">
        <v>94</v>
      </c>
      <c r="L34" s="145" t="s">
        <v>95</v>
      </c>
      <c r="M34" s="139">
        <f>SUM(O34:S36)</f>
        <v>105</v>
      </c>
      <c r="N34" s="32" t="s">
        <v>19</v>
      </c>
      <c r="O34" s="57"/>
      <c r="P34" s="57"/>
      <c r="Q34" s="57"/>
      <c r="R34" s="57"/>
      <c r="S34" s="56"/>
      <c r="T34" s="58"/>
    </row>
    <row r="35" spans="1:20" ht="24" customHeight="1">
      <c r="A35" s="140"/>
      <c r="B35" s="142"/>
      <c r="C35" s="133"/>
      <c r="D35" s="142"/>
      <c r="E35" s="144"/>
      <c r="F35" s="144"/>
      <c r="G35" s="145"/>
      <c r="H35" s="145"/>
      <c r="I35" s="147"/>
      <c r="J35" s="149"/>
      <c r="K35" s="145"/>
      <c r="L35" s="145"/>
      <c r="M35" s="139"/>
      <c r="N35" s="32" t="s">
        <v>69</v>
      </c>
      <c r="O35" s="57"/>
      <c r="P35" s="57"/>
      <c r="Q35" s="57"/>
      <c r="R35" s="57"/>
      <c r="S35" s="56"/>
      <c r="T35" s="58"/>
    </row>
    <row r="36" spans="1:20" ht="24" customHeight="1">
      <c r="A36" s="141"/>
      <c r="B36" s="142"/>
      <c r="C36" s="134"/>
      <c r="D36" s="142"/>
      <c r="E36" s="144"/>
      <c r="F36" s="144"/>
      <c r="G36" s="145"/>
      <c r="H36" s="145"/>
      <c r="I36" s="148"/>
      <c r="J36" s="149"/>
      <c r="K36" s="145"/>
      <c r="L36" s="145"/>
      <c r="M36" s="139"/>
      <c r="N36" s="32" t="s">
        <v>21</v>
      </c>
      <c r="O36" s="57"/>
      <c r="P36" s="57"/>
      <c r="Q36" s="57">
        <v>105</v>
      </c>
      <c r="R36" s="57"/>
      <c r="S36" s="56"/>
      <c r="T36" s="58"/>
    </row>
    <row r="37" spans="1:19" ht="24" customHeight="1">
      <c r="A37" s="140">
        <v>11</v>
      </c>
      <c r="B37" s="142" t="s">
        <v>98</v>
      </c>
      <c r="C37" s="143" t="s">
        <v>93</v>
      </c>
      <c r="D37" s="142">
        <v>2005</v>
      </c>
      <c r="E37" s="144"/>
      <c r="F37" s="144">
        <v>3201</v>
      </c>
      <c r="G37" s="145">
        <v>3201</v>
      </c>
      <c r="H37" s="145"/>
      <c r="I37" s="146" t="s">
        <v>99</v>
      </c>
      <c r="J37" s="149" t="s">
        <v>295</v>
      </c>
      <c r="K37" s="145"/>
      <c r="L37" s="146" t="s">
        <v>100</v>
      </c>
      <c r="M37" s="139">
        <f>SUM(O37:S39)</f>
        <v>700</v>
      </c>
      <c r="N37" s="32" t="s">
        <v>19</v>
      </c>
      <c r="O37" s="57"/>
      <c r="P37" s="57"/>
      <c r="Q37" s="57"/>
      <c r="R37" s="57"/>
      <c r="S37" s="56"/>
    </row>
    <row r="38" spans="1:19" ht="24" customHeight="1">
      <c r="A38" s="140"/>
      <c r="B38" s="142"/>
      <c r="C38" s="133"/>
      <c r="D38" s="142"/>
      <c r="E38" s="144"/>
      <c r="F38" s="144"/>
      <c r="G38" s="145"/>
      <c r="H38" s="145"/>
      <c r="I38" s="147"/>
      <c r="J38" s="149"/>
      <c r="K38" s="145"/>
      <c r="L38" s="147"/>
      <c r="M38" s="139"/>
      <c r="N38" s="32" t="s">
        <v>69</v>
      </c>
      <c r="O38" s="57"/>
      <c r="P38" s="57"/>
      <c r="Q38" s="57"/>
      <c r="R38" s="57"/>
      <c r="S38" s="56"/>
    </row>
    <row r="39" spans="1:19" ht="24" customHeight="1">
      <c r="A39" s="141"/>
      <c r="B39" s="142"/>
      <c r="C39" s="134"/>
      <c r="D39" s="142"/>
      <c r="E39" s="144"/>
      <c r="F39" s="144"/>
      <c r="G39" s="145"/>
      <c r="H39" s="145"/>
      <c r="I39" s="148"/>
      <c r="J39" s="149"/>
      <c r="K39" s="145"/>
      <c r="L39" s="148"/>
      <c r="M39" s="139"/>
      <c r="N39" s="32" t="s">
        <v>21</v>
      </c>
      <c r="O39" s="57"/>
      <c r="P39" s="57">
        <v>700</v>
      </c>
      <c r="Q39" s="57"/>
      <c r="R39" s="57"/>
      <c r="S39" s="56"/>
    </row>
    <row r="40" spans="1:19" ht="24" customHeight="1">
      <c r="A40" s="140">
        <v>12</v>
      </c>
      <c r="B40" s="142" t="s">
        <v>101</v>
      </c>
      <c r="C40" s="143" t="s">
        <v>93</v>
      </c>
      <c r="D40" s="142">
        <v>2002</v>
      </c>
      <c r="E40" s="144"/>
      <c r="F40" s="144">
        <v>2308</v>
      </c>
      <c r="G40" s="145">
        <v>808</v>
      </c>
      <c r="H40" s="145"/>
      <c r="I40" s="146" t="s">
        <v>102</v>
      </c>
      <c r="J40" s="149" t="s">
        <v>295</v>
      </c>
      <c r="K40" s="146" t="s">
        <v>103</v>
      </c>
      <c r="L40" s="146" t="s">
        <v>104</v>
      </c>
      <c r="M40" s="139">
        <f>SUM(O40:S42)</f>
        <v>400</v>
      </c>
      <c r="N40" s="32" t="s">
        <v>19</v>
      </c>
      <c r="O40" s="57"/>
      <c r="P40" s="57"/>
      <c r="Q40" s="57"/>
      <c r="R40" s="57"/>
      <c r="S40" s="56"/>
    </row>
    <row r="41" spans="1:19" ht="24" customHeight="1">
      <c r="A41" s="140"/>
      <c r="B41" s="142"/>
      <c r="C41" s="133"/>
      <c r="D41" s="142"/>
      <c r="E41" s="144"/>
      <c r="F41" s="144"/>
      <c r="G41" s="145"/>
      <c r="H41" s="145"/>
      <c r="I41" s="147"/>
      <c r="J41" s="149"/>
      <c r="K41" s="147"/>
      <c r="L41" s="147"/>
      <c r="M41" s="139"/>
      <c r="N41" s="32" t="s">
        <v>69</v>
      </c>
      <c r="O41" s="57"/>
      <c r="P41" s="57"/>
      <c r="Q41" s="57"/>
      <c r="R41" s="57"/>
      <c r="S41" s="56"/>
    </row>
    <row r="42" spans="1:19" ht="24" customHeight="1">
      <c r="A42" s="141"/>
      <c r="B42" s="142"/>
      <c r="C42" s="134"/>
      <c r="D42" s="142"/>
      <c r="E42" s="144"/>
      <c r="F42" s="144"/>
      <c r="G42" s="145"/>
      <c r="H42" s="145"/>
      <c r="I42" s="148"/>
      <c r="J42" s="149"/>
      <c r="K42" s="148"/>
      <c r="L42" s="148"/>
      <c r="M42" s="139"/>
      <c r="N42" s="32" t="s">
        <v>21</v>
      </c>
      <c r="O42" s="57"/>
      <c r="P42" s="57">
        <v>400</v>
      </c>
      <c r="Q42" s="57"/>
      <c r="R42" s="57"/>
      <c r="S42" s="56"/>
    </row>
    <row r="43" spans="1:19" ht="24" customHeight="1">
      <c r="A43" s="140">
        <v>13</v>
      </c>
      <c r="B43" s="142" t="s">
        <v>105</v>
      </c>
      <c r="C43" s="143" t="s">
        <v>93</v>
      </c>
      <c r="D43" s="142">
        <v>2000</v>
      </c>
      <c r="E43" s="144"/>
      <c r="F43" s="144">
        <v>169</v>
      </c>
      <c r="G43" s="145">
        <v>93</v>
      </c>
      <c r="H43" s="145"/>
      <c r="I43" s="146" t="s">
        <v>106</v>
      </c>
      <c r="J43" s="149" t="s">
        <v>295</v>
      </c>
      <c r="K43" s="146" t="s">
        <v>107</v>
      </c>
      <c r="L43" s="146" t="s">
        <v>104</v>
      </c>
      <c r="M43" s="139">
        <f>SUM(O43:S45)</f>
        <v>1500</v>
      </c>
      <c r="N43" s="32" t="s">
        <v>19</v>
      </c>
      <c r="O43" s="57"/>
      <c r="P43" s="57"/>
      <c r="Q43" s="57"/>
      <c r="R43" s="57"/>
      <c r="S43" s="56"/>
    </row>
    <row r="44" spans="1:19" ht="24" customHeight="1">
      <c r="A44" s="140"/>
      <c r="B44" s="142"/>
      <c r="C44" s="133"/>
      <c r="D44" s="142"/>
      <c r="E44" s="144"/>
      <c r="F44" s="144"/>
      <c r="G44" s="145"/>
      <c r="H44" s="145"/>
      <c r="I44" s="147"/>
      <c r="J44" s="149"/>
      <c r="K44" s="147"/>
      <c r="L44" s="147"/>
      <c r="M44" s="139"/>
      <c r="N44" s="32" t="s">
        <v>69</v>
      </c>
      <c r="O44" s="57"/>
      <c r="P44" s="57"/>
      <c r="Q44" s="57"/>
      <c r="R44" s="57"/>
      <c r="S44" s="56"/>
    </row>
    <row r="45" spans="1:19" ht="30" customHeight="1">
      <c r="A45" s="141"/>
      <c r="B45" s="142"/>
      <c r="C45" s="134"/>
      <c r="D45" s="142"/>
      <c r="E45" s="144"/>
      <c r="F45" s="144"/>
      <c r="G45" s="145"/>
      <c r="H45" s="145"/>
      <c r="I45" s="148"/>
      <c r="J45" s="149"/>
      <c r="K45" s="148"/>
      <c r="L45" s="148"/>
      <c r="M45" s="139"/>
      <c r="N45" s="32" t="s">
        <v>21</v>
      </c>
      <c r="O45" s="57"/>
      <c r="P45" s="57"/>
      <c r="Q45" s="57">
        <v>500</v>
      </c>
      <c r="R45" s="57">
        <v>500</v>
      </c>
      <c r="S45" s="56">
        <v>500</v>
      </c>
    </row>
    <row r="46" spans="1:19" ht="24" customHeight="1">
      <c r="A46" s="140">
        <v>14</v>
      </c>
      <c r="B46" s="142" t="s">
        <v>108</v>
      </c>
      <c r="C46" s="143" t="s">
        <v>93</v>
      </c>
      <c r="D46" s="142">
        <v>1992</v>
      </c>
      <c r="E46" s="144">
        <v>25</v>
      </c>
      <c r="F46" s="144">
        <v>0.15</v>
      </c>
      <c r="G46" s="145" t="s">
        <v>71</v>
      </c>
      <c r="H46" s="145"/>
      <c r="I46" s="146" t="s">
        <v>109</v>
      </c>
      <c r="J46" s="149" t="s">
        <v>295</v>
      </c>
      <c r="K46" s="145" t="s">
        <v>110</v>
      </c>
      <c r="L46" s="145" t="s">
        <v>85</v>
      </c>
      <c r="M46" s="139">
        <f>SUM(O46:S48)</f>
        <v>1300</v>
      </c>
      <c r="N46" s="32" t="s">
        <v>19</v>
      </c>
      <c r="O46" s="57"/>
      <c r="P46" s="57"/>
      <c r="Q46" s="57"/>
      <c r="R46" s="57"/>
      <c r="S46" s="56"/>
    </row>
    <row r="47" spans="1:19" ht="24">
      <c r="A47" s="140"/>
      <c r="B47" s="142"/>
      <c r="C47" s="133"/>
      <c r="D47" s="142"/>
      <c r="E47" s="144"/>
      <c r="F47" s="144"/>
      <c r="G47" s="145"/>
      <c r="H47" s="145"/>
      <c r="I47" s="147"/>
      <c r="J47" s="149"/>
      <c r="K47" s="145"/>
      <c r="L47" s="145"/>
      <c r="M47" s="139"/>
      <c r="N47" s="32" t="s">
        <v>69</v>
      </c>
      <c r="O47" s="57"/>
      <c r="P47" s="57"/>
      <c r="Q47" s="57"/>
      <c r="R47" s="57"/>
      <c r="S47" s="56"/>
    </row>
    <row r="48" spans="1:19" ht="24">
      <c r="A48" s="141"/>
      <c r="B48" s="142"/>
      <c r="C48" s="134"/>
      <c r="D48" s="142"/>
      <c r="E48" s="144"/>
      <c r="F48" s="144"/>
      <c r="G48" s="145"/>
      <c r="H48" s="145"/>
      <c r="I48" s="148"/>
      <c r="J48" s="149"/>
      <c r="K48" s="145"/>
      <c r="L48" s="145"/>
      <c r="M48" s="139"/>
      <c r="N48" s="32" t="s">
        <v>21</v>
      </c>
      <c r="O48" s="57"/>
      <c r="P48" s="57"/>
      <c r="Q48" s="57"/>
      <c r="R48" s="57"/>
      <c r="S48" s="56">
        <v>1300</v>
      </c>
    </row>
    <row r="49" spans="1:19" ht="24" customHeight="1">
      <c r="A49" s="140">
        <v>15</v>
      </c>
      <c r="B49" s="142" t="s">
        <v>111</v>
      </c>
      <c r="C49" s="143" t="s">
        <v>93</v>
      </c>
      <c r="D49" s="142">
        <v>1998</v>
      </c>
      <c r="E49" s="144">
        <v>25</v>
      </c>
      <c r="F49" s="144">
        <v>27</v>
      </c>
      <c r="G49" s="145">
        <v>54</v>
      </c>
      <c r="H49" s="145"/>
      <c r="I49" s="146" t="s">
        <v>109</v>
      </c>
      <c r="J49" s="149" t="s">
        <v>295</v>
      </c>
      <c r="K49" s="145" t="s">
        <v>112</v>
      </c>
      <c r="L49" s="145" t="s">
        <v>113</v>
      </c>
      <c r="M49" s="139">
        <f>SUM(O49:S51)</f>
        <v>2600</v>
      </c>
      <c r="N49" s="32" t="s">
        <v>19</v>
      </c>
      <c r="O49" s="57"/>
      <c r="P49" s="57"/>
      <c r="Q49" s="57"/>
      <c r="R49" s="57"/>
      <c r="S49" s="56"/>
    </row>
    <row r="50" spans="1:19" ht="24" customHeight="1">
      <c r="A50" s="140"/>
      <c r="B50" s="142"/>
      <c r="C50" s="133"/>
      <c r="D50" s="142"/>
      <c r="E50" s="144"/>
      <c r="F50" s="144"/>
      <c r="G50" s="145"/>
      <c r="H50" s="145"/>
      <c r="I50" s="147"/>
      <c r="J50" s="149"/>
      <c r="K50" s="145"/>
      <c r="L50" s="145"/>
      <c r="M50" s="139"/>
      <c r="N50" s="32" t="s">
        <v>69</v>
      </c>
      <c r="O50" s="57"/>
      <c r="P50" s="57"/>
      <c r="Q50" s="57"/>
      <c r="R50" s="57"/>
      <c r="S50" s="56"/>
    </row>
    <row r="51" spans="1:19" ht="24" customHeight="1">
      <c r="A51" s="141"/>
      <c r="B51" s="142"/>
      <c r="C51" s="134"/>
      <c r="D51" s="142"/>
      <c r="E51" s="144"/>
      <c r="F51" s="144"/>
      <c r="G51" s="145"/>
      <c r="H51" s="145"/>
      <c r="I51" s="148"/>
      <c r="J51" s="149"/>
      <c r="K51" s="145"/>
      <c r="L51" s="145"/>
      <c r="M51" s="139"/>
      <c r="N51" s="32" t="s">
        <v>21</v>
      </c>
      <c r="O51" s="57"/>
      <c r="P51" s="57"/>
      <c r="Q51" s="57"/>
      <c r="R51" s="57">
        <v>1300</v>
      </c>
      <c r="S51" s="56">
        <v>1300</v>
      </c>
    </row>
    <row r="52" spans="1:19" ht="24" customHeight="1">
      <c r="A52" s="140">
        <v>16</v>
      </c>
      <c r="B52" s="142" t="s">
        <v>114</v>
      </c>
      <c r="C52" s="143" t="s">
        <v>93</v>
      </c>
      <c r="D52" s="142"/>
      <c r="E52" s="144">
        <v>30</v>
      </c>
      <c r="F52" s="144">
        <v>6397</v>
      </c>
      <c r="G52" s="145" t="s">
        <v>71</v>
      </c>
      <c r="H52" s="145">
        <v>2005</v>
      </c>
      <c r="I52" s="146" t="s">
        <v>115</v>
      </c>
      <c r="J52" s="149" t="s">
        <v>295</v>
      </c>
      <c r="K52" s="145"/>
      <c r="L52" s="145"/>
      <c r="M52" s="139">
        <f>SUM(O52:S54)</f>
        <v>12800</v>
      </c>
      <c r="N52" s="32" t="s">
        <v>19</v>
      </c>
      <c r="O52" s="57"/>
      <c r="P52" s="57"/>
      <c r="Q52" s="57"/>
      <c r="R52" s="57"/>
      <c r="S52" s="56"/>
    </row>
    <row r="53" spans="1:19" ht="24" customHeight="1">
      <c r="A53" s="140"/>
      <c r="B53" s="142"/>
      <c r="C53" s="133"/>
      <c r="D53" s="142"/>
      <c r="E53" s="144"/>
      <c r="F53" s="144"/>
      <c r="G53" s="145"/>
      <c r="H53" s="145"/>
      <c r="I53" s="147"/>
      <c r="J53" s="149"/>
      <c r="K53" s="145"/>
      <c r="L53" s="145"/>
      <c r="M53" s="139"/>
      <c r="N53" s="32" t="s">
        <v>69</v>
      </c>
      <c r="O53" s="57"/>
      <c r="P53" s="57"/>
      <c r="Q53" s="57"/>
      <c r="R53" s="57"/>
      <c r="S53" s="56"/>
    </row>
    <row r="54" spans="1:19" ht="24" customHeight="1">
      <c r="A54" s="141"/>
      <c r="B54" s="142"/>
      <c r="C54" s="134"/>
      <c r="D54" s="142"/>
      <c r="E54" s="144"/>
      <c r="F54" s="144"/>
      <c r="G54" s="145"/>
      <c r="H54" s="145"/>
      <c r="I54" s="148"/>
      <c r="J54" s="149"/>
      <c r="K54" s="145"/>
      <c r="L54" s="145"/>
      <c r="M54" s="139"/>
      <c r="N54" s="32" t="s">
        <v>21</v>
      </c>
      <c r="O54" s="57"/>
      <c r="P54" s="57">
        <f>9900-320</f>
        <v>9580</v>
      </c>
      <c r="Q54" s="57">
        <f>900+320</f>
        <v>1220</v>
      </c>
      <c r="R54" s="57">
        <v>1000</v>
      </c>
      <c r="S54" s="56">
        <v>1000</v>
      </c>
    </row>
    <row r="55" spans="1:19" ht="24" customHeight="1">
      <c r="A55" s="140">
        <v>17</v>
      </c>
      <c r="B55" s="142" t="s">
        <v>116</v>
      </c>
      <c r="C55" s="143" t="s">
        <v>93</v>
      </c>
      <c r="D55" s="142"/>
      <c r="E55" s="144">
        <v>30</v>
      </c>
      <c r="F55" s="144">
        <v>58</v>
      </c>
      <c r="G55" s="145">
        <v>42</v>
      </c>
      <c r="H55" s="145">
        <v>2003</v>
      </c>
      <c r="I55" s="146" t="s">
        <v>117</v>
      </c>
      <c r="J55" s="149" t="s">
        <v>295</v>
      </c>
      <c r="K55" s="145"/>
      <c r="L55" s="145"/>
      <c r="M55" s="139">
        <f>SUM(O55:S57)</f>
        <v>475</v>
      </c>
      <c r="N55" s="32" t="s">
        <v>19</v>
      </c>
      <c r="O55" s="57"/>
      <c r="P55" s="57"/>
      <c r="Q55" s="57"/>
      <c r="R55" s="57"/>
      <c r="S55" s="56"/>
    </row>
    <row r="56" spans="1:19" ht="24" customHeight="1">
      <c r="A56" s="140"/>
      <c r="B56" s="142"/>
      <c r="C56" s="133"/>
      <c r="D56" s="142"/>
      <c r="E56" s="144"/>
      <c r="F56" s="144"/>
      <c r="G56" s="145"/>
      <c r="H56" s="145"/>
      <c r="I56" s="147"/>
      <c r="J56" s="149"/>
      <c r="K56" s="145"/>
      <c r="L56" s="145"/>
      <c r="M56" s="139"/>
      <c r="N56" s="32" t="s">
        <v>69</v>
      </c>
      <c r="O56" s="57"/>
      <c r="P56" s="57"/>
      <c r="Q56" s="57"/>
      <c r="R56" s="57"/>
      <c r="S56" s="56"/>
    </row>
    <row r="57" spans="1:19" ht="24" customHeight="1">
      <c r="A57" s="141"/>
      <c r="B57" s="142"/>
      <c r="C57" s="134"/>
      <c r="D57" s="142"/>
      <c r="E57" s="144"/>
      <c r="F57" s="144"/>
      <c r="G57" s="145"/>
      <c r="H57" s="145"/>
      <c r="I57" s="148"/>
      <c r="J57" s="149"/>
      <c r="K57" s="145"/>
      <c r="L57" s="145"/>
      <c r="M57" s="139"/>
      <c r="N57" s="32" t="s">
        <v>21</v>
      </c>
      <c r="O57" s="57"/>
      <c r="P57" s="57"/>
      <c r="Q57" s="57">
        <v>475</v>
      </c>
      <c r="R57" s="57"/>
      <c r="S57" s="56"/>
    </row>
    <row r="58" spans="1:19" ht="24" customHeight="1">
      <c r="A58" s="140">
        <v>18</v>
      </c>
      <c r="B58" s="142" t="s">
        <v>118</v>
      </c>
      <c r="C58" s="143" t="s">
        <v>93</v>
      </c>
      <c r="D58" s="142"/>
      <c r="E58" s="144">
        <v>30</v>
      </c>
      <c r="F58" s="144">
        <v>6470</v>
      </c>
      <c r="G58" s="145">
        <v>16.26</v>
      </c>
      <c r="H58" s="145">
        <v>2005</v>
      </c>
      <c r="I58" s="146" t="s">
        <v>115</v>
      </c>
      <c r="J58" s="149" t="s">
        <v>295</v>
      </c>
      <c r="K58" s="145"/>
      <c r="L58" s="145"/>
      <c r="M58" s="139">
        <f>SUM(O58:S60)</f>
        <v>300</v>
      </c>
      <c r="N58" s="32" t="s">
        <v>19</v>
      </c>
      <c r="O58" s="57"/>
      <c r="P58" s="57"/>
      <c r="Q58" s="57"/>
      <c r="R58" s="57"/>
      <c r="S58" s="56"/>
    </row>
    <row r="59" spans="1:19" ht="24" customHeight="1">
      <c r="A59" s="140"/>
      <c r="B59" s="142"/>
      <c r="C59" s="133"/>
      <c r="D59" s="142"/>
      <c r="E59" s="144"/>
      <c r="F59" s="144"/>
      <c r="G59" s="145"/>
      <c r="H59" s="145"/>
      <c r="I59" s="147"/>
      <c r="J59" s="149"/>
      <c r="K59" s="145"/>
      <c r="L59" s="145"/>
      <c r="M59" s="139"/>
      <c r="N59" s="32" t="s">
        <v>69</v>
      </c>
      <c r="O59" s="57"/>
      <c r="P59" s="57"/>
      <c r="Q59" s="57"/>
      <c r="R59" s="57"/>
      <c r="S59" s="56"/>
    </row>
    <row r="60" spans="1:19" ht="24" customHeight="1">
      <c r="A60" s="141"/>
      <c r="B60" s="142"/>
      <c r="C60" s="134"/>
      <c r="D60" s="142"/>
      <c r="E60" s="144"/>
      <c r="F60" s="144"/>
      <c r="G60" s="145"/>
      <c r="H60" s="145"/>
      <c r="I60" s="148"/>
      <c r="J60" s="149"/>
      <c r="K60" s="145"/>
      <c r="L60" s="145"/>
      <c r="M60" s="139"/>
      <c r="N60" s="32" t="s">
        <v>21</v>
      </c>
      <c r="O60" s="57"/>
      <c r="P60" s="57"/>
      <c r="Q60" s="57">
        <v>300</v>
      </c>
      <c r="R60" s="57"/>
      <c r="S60" s="56"/>
    </row>
    <row r="61" spans="1:19" ht="24" customHeight="1">
      <c r="A61" s="140">
        <v>19</v>
      </c>
      <c r="B61" s="142" t="s">
        <v>119</v>
      </c>
      <c r="C61" s="143" t="s">
        <v>93</v>
      </c>
      <c r="D61" s="142">
        <v>1955</v>
      </c>
      <c r="E61" s="144">
        <v>30</v>
      </c>
      <c r="F61" s="144">
        <v>111</v>
      </c>
      <c r="G61" s="145"/>
      <c r="H61" s="145">
        <v>2002</v>
      </c>
      <c r="I61" s="146" t="s">
        <v>120</v>
      </c>
      <c r="J61" s="149" t="s">
        <v>295</v>
      </c>
      <c r="K61" s="145"/>
      <c r="L61" s="145"/>
      <c r="M61" s="139">
        <f>SUM(O61:S63)</f>
        <v>1600</v>
      </c>
      <c r="N61" s="32" t="s">
        <v>19</v>
      </c>
      <c r="O61" s="57"/>
      <c r="P61" s="57"/>
      <c r="Q61" s="57"/>
      <c r="R61" s="57"/>
      <c r="S61" s="56"/>
    </row>
    <row r="62" spans="1:19" ht="24" customHeight="1">
      <c r="A62" s="140"/>
      <c r="B62" s="142"/>
      <c r="C62" s="133"/>
      <c r="D62" s="142"/>
      <c r="E62" s="144"/>
      <c r="F62" s="144"/>
      <c r="G62" s="145"/>
      <c r="H62" s="145"/>
      <c r="I62" s="147"/>
      <c r="J62" s="149"/>
      <c r="K62" s="145"/>
      <c r="L62" s="145"/>
      <c r="M62" s="139"/>
      <c r="N62" s="32" t="s">
        <v>69</v>
      </c>
      <c r="O62" s="57"/>
      <c r="P62" s="57"/>
      <c r="Q62" s="57"/>
      <c r="R62" s="57"/>
      <c r="S62" s="56"/>
    </row>
    <row r="63" spans="1:19" ht="24" customHeight="1">
      <c r="A63" s="141"/>
      <c r="B63" s="142"/>
      <c r="C63" s="134"/>
      <c r="D63" s="142"/>
      <c r="E63" s="144"/>
      <c r="F63" s="144"/>
      <c r="G63" s="145"/>
      <c r="H63" s="145"/>
      <c r="I63" s="148"/>
      <c r="J63" s="149"/>
      <c r="K63" s="145"/>
      <c r="L63" s="145"/>
      <c r="M63" s="139"/>
      <c r="N63" s="32" t="s">
        <v>21</v>
      </c>
      <c r="O63" s="57"/>
      <c r="P63" s="57"/>
      <c r="Q63" s="57"/>
      <c r="R63" s="57">
        <v>800</v>
      </c>
      <c r="S63" s="56">
        <v>800</v>
      </c>
    </row>
    <row r="64" spans="1:19" ht="24" customHeight="1">
      <c r="A64" s="140">
        <v>20</v>
      </c>
      <c r="B64" s="142" t="s">
        <v>122</v>
      </c>
      <c r="C64" s="143" t="s">
        <v>93</v>
      </c>
      <c r="D64" s="142">
        <v>1955</v>
      </c>
      <c r="E64" s="144">
        <v>30</v>
      </c>
      <c r="F64" s="144"/>
      <c r="G64" s="145"/>
      <c r="H64" s="145"/>
      <c r="I64" s="146" t="s">
        <v>120</v>
      </c>
      <c r="J64" s="149" t="s">
        <v>296</v>
      </c>
      <c r="K64" s="145"/>
      <c r="L64" s="145"/>
      <c r="M64" s="139">
        <f>SUM(O64:S66)</f>
        <v>2323</v>
      </c>
      <c r="N64" s="32" t="s">
        <v>19</v>
      </c>
      <c r="O64" s="57"/>
      <c r="P64" s="57"/>
      <c r="Q64" s="57"/>
      <c r="R64" s="57"/>
      <c r="S64" s="56"/>
    </row>
    <row r="65" spans="1:19" ht="24" customHeight="1">
      <c r="A65" s="140"/>
      <c r="B65" s="142"/>
      <c r="C65" s="133"/>
      <c r="D65" s="142"/>
      <c r="E65" s="144"/>
      <c r="F65" s="144"/>
      <c r="G65" s="145"/>
      <c r="H65" s="145"/>
      <c r="I65" s="147"/>
      <c r="J65" s="149"/>
      <c r="K65" s="145"/>
      <c r="L65" s="145"/>
      <c r="M65" s="139"/>
      <c r="N65" s="32" t="s">
        <v>69</v>
      </c>
      <c r="O65" s="57"/>
      <c r="P65" s="57"/>
      <c r="Q65" s="57"/>
      <c r="R65" s="57"/>
      <c r="S65" s="56"/>
    </row>
    <row r="66" spans="1:19" ht="24" customHeight="1">
      <c r="A66" s="141"/>
      <c r="B66" s="142"/>
      <c r="C66" s="134"/>
      <c r="D66" s="142"/>
      <c r="E66" s="144"/>
      <c r="F66" s="144"/>
      <c r="G66" s="145"/>
      <c r="H66" s="145"/>
      <c r="I66" s="148"/>
      <c r="J66" s="149"/>
      <c r="K66" s="145"/>
      <c r="L66" s="145"/>
      <c r="M66" s="139"/>
      <c r="N66" s="32" t="s">
        <v>21</v>
      </c>
      <c r="O66" s="57"/>
      <c r="P66" s="57"/>
      <c r="Q66" s="57">
        <v>800</v>
      </c>
      <c r="R66" s="57">
        <v>800</v>
      </c>
      <c r="S66" s="56">
        <f>800-77</f>
        <v>723</v>
      </c>
    </row>
    <row r="67" spans="1:19" ht="24" customHeight="1">
      <c r="A67" s="140">
        <v>21</v>
      </c>
      <c r="B67" s="142" t="s">
        <v>123</v>
      </c>
      <c r="C67" s="143"/>
      <c r="D67" s="142"/>
      <c r="E67" s="144"/>
      <c r="F67" s="144"/>
      <c r="G67" s="145"/>
      <c r="H67" s="145"/>
      <c r="I67" s="146" t="s">
        <v>289</v>
      </c>
      <c r="J67" s="149" t="s">
        <v>296</v>
      </c>
      <c r="K67" s="143" t="s">
        <v>290</v>
      </c>
      <c r="L67" s="143" t="s">
        <v>291</v>
      </c>
      <c r="M67" s="139">
        <f>SUM(O67:S69)</f>
        <v>1000</v>
      </c>
      <c r="N67" s="32" t="s">
        <v>19</v>
      </c>
      <c r="O67" s="57"/>
      <c r="P67" s="57"/>
      <c r="Q67" s="57"/>
      <c r="R67" s="57"/>
      <c r="S67" s="56"/>
    </row>
    <row r="68" spans="1:19" ht="24" customHeight="1">
      <c r="A68" s="140"/>
      <c r="B68" s="142"/>
      <c r="C68" s="133"/>
      <c r="D68" s="142"/>
      <c r="E68" s="144"/>
      <c r="F68" s="144"/>
      <c r="G68" s="145"/>
      <c r="H68" s="145"/>
      <c r="I68" s="147"/>
      <c r="J68" s="149"/>
      <c r="K68" s="133"/>
      <c r="L68" s="133"/>
      <c r="M68" s="139"/>
      <c r="N68" s="32" t="s">
        <v>69</v>
      </c>
      <c r="O68" s="57"/>
      <c r="P68" s="57"/>
      <c r="Q68" s="57"/>
      <c r="R68" s="57"/>
      <c r="S68" s="56"/>
    </row>
    <row r="69" spans="1:19" ht="24" customHeight="1">
      <c r="A69" s="141"/>
      <c r="B69" s="142"/>
      <c r="C69" s="134"/>
      <c r="D69" s="142"/>
      <c r="E69" s="144"/>
      <c r="F69" s="144"/>
      <c r="G69" s="145"/>
      <c r="H69" s="145"/>
      <c r="I69" s="148"/>
      <c r="J69" s="149"/>
      <c r="K69" s="134"/>
      <c r="L69" s="134"/>
      <c r="M69" s="139"/>
      <c r="N69" s="32" t="s">
        <v>21</v>
      </c>
      <c r="O69" s="57"/>
      <c r="P69" s="57"/>
      <c r="Q69" s="57">
        <v>500</v>
      </c>
      <c r="R69" s="57">
        <v>500</v>
      </c>
      <c r="S69" s="56"/>
    </row>
    <row r="70" spans="1:19" ht="24" customHeight="1">
      <c r="A70" s="140">
        <v>22</v>
      </c>
      <c r="B70" s="142" t="s">
        <v>283</v>
      </c>
      <c r="C70" s="143"/>
      <c r="D70" s="142"/>
      <c r="E70" s="144"/>
      <c r="F70" s="144"/>
      <c r="G70" s="145"/>
      <c r="H70" s="145"/>
      <c r="I70" s="146" t="s">
        <v>284</v>
      </c>
      <c r="J70" s="149" t="s">
        <v>296</v>
      </c>
      <c r="K70" s="150" t="s">
        <v>285</v>
      </c>
      <c r="L70" s="149" t="s">
        <v>286</v>
      </c>
      <c r="M70" s="139">
        <f>SUM(O70:S72)</f>
        <v>4200</v>
      </c>
      <c r="N70" s="32" t="s">
        <v>19</v>
      </c>
      <c r="O70" s="57"/>
      <c r="P70" s="57"/>
      <c r="Q70" s="57"/>
      <c r="R70" s="57"/>
      <c r="S70" s="56"/>
    </row>
    <row r="71" spans="1:19" ht="24" customHeight="1">
      <c r="A71" s="140"/>
      <c r="B71" s="142"/>
      <c r="C71" s="133"/>
      <c r="D71" s="142"/>
      <c r="E71" s="144"/>
      <c r="F71" s="144"/>
      <c r="G71" s="145"/>
      <c r="H71" s="145"/>
      <c r="I71" s="147"/>
      <c r="J71" s="149"/>
      <c r="K71" s="150"/>
      <c r="L71" s="149"/>
      <c r="M71" s="139"/>
      <c r="N71" s="32" t="s">
        <v>69</v>
      </c>
      <c r="O71" s="57"/>
      <c r="P71" s="57"/>
      <c r="Q71" s="57"/>
      <c r="R71" s="57"/>
      <c r="S71" s="56"/>
    </row>
    <row r="72" spans="1:19" ht="24" customHeight="1">
      <c r="A72" s="141"/>
      <c r="B72" s="142"/>
      <c r="C72" s="134"/>
      <c r="D72" s="142"/>
      <c r="E72" s="144"/>
      <c r="F72" s="144"/>
      <c r="G72" s="145"/>
      <c r="H72" s="145"/>
      <c r="I72" s="148"/>
      <c r="J72" s="149"/>
      <c r="K72" s="150"/>
      <c r="L72" s="149"/>
      <c r="M72" s="139"/>
      <c r="N72" s="32" t="s">
        <v>21</v>
      </c>
      <c r="O72" s="57"/>
      <c r="P72" s="57"/>
      <c r="Q72" s="57">
        <v>3200</v>
      </c>
      <c r="R72" s="57">
        <v>1000</v>
      </c>
      <c r="S72" s="56"/>
    </row>
    <row r="73" spans="1:19" ht="24" customHeight="1">
      <c r="A73" s="140">
        <v>23</v>
      </c>
      <c r="B73" s="135" t="s">
        <v>287</v>
      </c>
      <c r="C73" s="143"/>
      <c r="D73" s="142"/>
      <c r="E73" s="144"/>
      <c r="F73" s="144"/>
      <c r="G73" s="145"/>
      <c r="H73" s="145"/>
      <c r="I73" s="146" t="s">
        <v>288</v>
      </c>
      <c r="J73" s="149" t="s">
        <v>296</v>
      </c>
      <c r="K73" s="150" t="s">
        <v>285</v>
      </c>
      <c r="L73" s="149" t="s">
        <v>286</v>
      </c>
      <c r="M73" s="139">
        <f>SUM(O73:S75)</f>
        <v>4000</v>
      </c>
      <c r="N73" s="32" t="s">
        <v>19</v>
      </c>
      <c r="O73" s="57"/>
      <c r="P73" s="57"/>
      <c r="Q73" s="57"/>
      <c r="R73" s="57"/>
      <c r="S73" s="56"/>
    </row>
    <row r="74" spans="1:19" ht="24" customHeight="1">
      <c r="A74" s="140"/>
      <c r="B74" s="136"/>
      <c r="C74" s="133"/>
      <c r="D74" s="142"/>
      <c r="E74" s="144"/>
      <c r="F74" s="144"/>
      <c r="G74" s="145"/>
      <c r="H74" s="145"/>
      <c r="I74" s="147"/>
      <c r="J74" s="149"/>
      <c r="K74" s="150"/>
      <c r="L74" s="149"/>
      <c r="M74" s="139"/>
      <c r="N74" s="32" t="s">
        <v>69</v>
      </c>
      <c r="O74" s="57"/>
      <c r="P74" s="57"/>
      <c r="Q74" s="57"/>
      <c r="R74" s="57"/>
      <c r="S74" s="56"/>
    </row>
    <row r="75" spans="1:19" ht="24" customHeight="1">
      <c r="A75" s="141"/>
      <c r="B75" s="137"/>
      <c r="C75" s="134"/>
      <c r="D75" s="142"/>
      <c r="E75" s="144"/>
      <c r="F75" s="144"/>
      <c r="G75" s="145"/>
      <c r="H75" s="145"/>
      <c r="I75" s="148"/>
      <c r="J75" s="149"/>
      <c r="K75" s="150"/>
      <c r="L75" s="149"/>
      <c r="M75" s="139"/>
      <c r="N75" s="32" t="s">
        <v>21</v>
      </c>
      <c r="O75" s="57"/>
      <c r="P75" s="57"/>
      <c r="Q75" s="57">
        <v>2000</v>
      </c>
      <c r="R75" s="57">
        <v>1000</v>
      </c>
      <c r="S75" s="56">
        <v>1000</v>
      </c>
    </row>
    <row r="76" spans="1:21" ht="24" customHeight="1">
      <c r="A76" s="139"/>
      <c r="B76" s="151" t="s">
        <v>121</v>
      </c>
      <c r="C76" s="139"/>
      <c r="D76" s="152"/>
      <c r="E76" s="153"/>
      <c r="F76" s="153"/>
      <c r="G76" s="139"/>
      <c r="H76" s="139"/>
      <c r="I76" s="139"/>
      <c r="J76" s="139"/>
      <c r="K76" s="139"/>
      <c r="L76" s="139"/>
      <c r="M76" s="138">
        <f>SUM(M7:M75)</f>
        <v>42000</v>
      </c>
      <c r="N76" s="59" t="s">
        <v>19</v>
      </c>
      <c r="O76" s="60">
        <f aca="true" t="shared" si="0" ref="O76:S78">SUM(O7,O10,O13,O16,O19,O22,O25,O28,O31,O34,O37,O40,O43,O46,O49,O52,O55,O58,O61,O64,O67,O70,O73)</f>
        <v>0</v>
      </c>
      <c r="P76" s="60">
        <f t="shared" si="0"/>
        <v>0</v>
      </c>
      <c r="Q76" s="60">
        <f t="shared" si="0"/>
        <v>0</v>
      </c>
      <c r="R76" s="60">
        <f t="shared" si="0"/>
        <v>0</v>
      </c>
      <c r="S76" s="60">
        <f t="shared" si="0"/>
        <v>0</v>
      </c>
      <c r="T76" s="27"/>
      <c r="U76" s="61"/>
    </row>
    <row r="77" spans="1:21" ht="24" customHeight="1">
      <c r="A77" s="139"/>
      <c r="B77" s="151"/>
      <c r="C77" s="139"/>
      <c r="D77" s="152"/>
      <c r="E77" s="153"/>
      <c r="F77" s="153"/>
      <c r="G77" s="139"/>
      <c r="H77" s="139"/>
      <c r="I77" s="139"/>
      <c r="J77" s="139"/>
      <c r="K77" s="139"/>
      <c r="L77" s="139"/>
      <c r="M77" s="138"/>
      <c r="N77" s="59" t="s">
        <v>69</v>
      </c>
      <c r="O77" s="60">
        <f t="shared" si="0"/>
        <v>0</v>
      </c>
      <c r="P77" s="60">
        <f t="shared" si="0"/>
        <v>0</v>
      </c>
      <c r="Q77" s="60">
        <f t="shared" si="0"/>
        <v>0</v>
      </c>
      <c r="R77" s="60">
        <f t="shared" si="0"/>
        <v>0</v>
      </c>
      <c r="S77" s="60">
        <f t="shared" si="0"/>
        <v>0</v>
      </c>
      <c r="T77" s="27"/>
      <c r="U77" s="61"/>
    </row>
    <row r="78" spans="1:21" ht="24" customHeight="1">
      <c r="A78" s="139"/>
      <c r="B78" s="151"/>
      <c r="C78" s="139"/>
      <c r="D78" s="152"/>
      <c r="E78" s="153"/>
      <c r="F78" s="153"/>
      <c r="G78" s="139"/>
      <c r="H78" s="139"/>
      <c r="I78" s="139"/>
      <c r="J78" s="139"/>
      <c r="K78" s="139"/>
      <c r="L78" s="139"/>
      <c r="M78" s="138"/>
      <c r="N78" s="59" t="s">
        <v>21</v>
      </c>
      <c r="O78" s="60">
        <f t="shared" si="0"/>
        <v>1577</v>
      </c>
      <c r="P78" s="60">
        <f t="shared" si="0"/>
        <v>11000</v>
      </c>
      <c r="Q78" s="60">
        <f t="shared" si="0"/>
        <v>11000</v>
      </c>
      <c r="R78" s="60">
        <f t="shared" si="0"/>
        <v>10000</v>
      </c>
      <c r="S78" s="60">
        <f t="shared" si="0"/>
        <v>8423</v>
      </c>
      <c r="T78" s="27"/>
      <c r="U78" s="61"/>
    </row>
    <row r="79" spans="1:21" ht="14.25">
      <c r="A79" s="43"/>
      <c r="B79" s="44"/>
      <c r="C79" s="43"/>
      <c r="D79" s="44"/>
      <c r="E79" s="45"/>
      <c r="F79" s="45"/>
      <c r="G79" s="43"/>
      <c r="H79" s="43"/>
      <c r="I79" s="43"/>
      <c r="J79" s="43"/>
      <c r="K79" s="43"/>
      <c r="L79" s="43"/>
      <c r="M79" s="43"/>
      <c r="N79" s="46"/>
      <c r="O79" s="62">
        <f>SUM(O76:O78)</f>
        <v>1577</v>
      </c>
      <c r="P79" s="62">
        <f>SUM(P76:P78)</f>
        <v>11000</v>
      </c>
      <c r="Q79" s="62">
        <f>SUM(Q76:Q78)</f>
        <v>11000</v>
      </c>
      <c r="R79" s="62">
        <f>SUM(R76:R78)</f>
        <v>10000</v>
      </c>
      <c r="S79" s="62">
        <f>SUM(S76:S78)</f>
        <v>8423</v>
      </c>
      <c r="T79" s="27"/>
      <c r="U79" s="61"/>
    </row>
    <row r="80" spans="1:20" ht="51">
      <c r="A80" s="43"/>
      <c r="B80" s="44"/>
      <c r="C80" s="43"/>
      <c r="D80" s="44"/>
      <c r="E80" s="45"/>
      <c r="F80" s="45"/>
      <c r="G80" s="43"/>
      <c r="H80" s="43"/>
      <c r="I80" s="43"/>
      <c r="J80" s="43"/>
      <c r="K80" s="43"/>
      <c r="L80" s="43"/>
      <c r="M80" s="34">
        <f>SUM(O80:S80)</f>
        <v>40423</v>
      </c>
      <c r="N80" s="48" t="s">
        <v>297</v>
      </c>
      <c r="O80" s="49"/>
      <c r="P80" s="50">
        <f>P79</f>
        <v>11000</v>
      </c>
      <c r="Q80" s="50">
        <f>Q79</f>
        <v>11000</v>
      </c>
      <c r="R80" s="50">
        <f>R79</f>
        <v>10000</v>
      </c>
      <c r="S80" s="50">
        <f>S79</f>
        <v>8423</v>
      </c>
      <c r="T80" s="128"/>
    </row>
    <row r="81" spans="1:19" ht="15">
      <c r="A81" s="43"/>
      <c r="B81" s="51"/>
      <c r="C81" s="43"/>
      <c r="D81" s="44"/>
      <c r="E81" s="45"/>
      <c r="F81" s="45"/>
      <c r="G81" s="43"/>
      <c r="H81" s="43"/>
      <c r="I81" s="43"/>
      <c r="K81" s="43"/>
      <c r="L81" s="52"/>
      <c r="M81" s="43"/>
      <c r="N81" s="46"/>
      <c r="O81" s="53"/>
      <c r="P81" s="53"/>
      <c r="Q81" s="53"/>
      <c r="R81" s="53"/>
      <c r="S81" s="54"/>
    </row>
    <row r="82" spans="15:18" ht="12.75">
      <c r="O82" s="27"/>
      <c r="P82" s="27"/>
      <c r="Q82" s="27"/>
      <c r="R82" s="27"/>
    </row>
    <row r="83" spans="15:18" ht="12.75">
      <c r="O83" s="27"/>
      <c r="P83" s="27"/>
      <c r="Q83" s="27"/>
      <c r="R83" s="27"/>
    </row>
    <row r="84" spans="15:18" ht="12.75">
      <c r="O84" s="27"/>
      <c r="P84" s="27"/>
      <c r="Q84" s="27"/>
      <c r="R84" s="27"/>
    </row>
    <row r="85" spans="15:18" ht="12.75">
      <c r="O85" s="27"/>
      <c r="P85" s="27"/>
      <c r="Q85" s="27"/>
      <c r="R85" s="27"/>
    </row>
    <row r="86" spans="15:18" ht="12.75">
      <c r="O86" s="27"/>
      <c r="P86" s="27"/>
      <c r="Q86" s="27"/>
      <c r="R86" s="27"/>
    </row>
    <row r="87" spans="15:18" ht="12.75">
      <c r="O87" s="27"/>
      <c r="P87" s="27"/>
      <c r="Q87" s="27"/>
      <c r="R87" s="27"/>
    </row>
    <row r="88" spans="15:18" ht="12.75">
      <c r="O88" s="27"/>
      <c r="P88" s="27"/>
      <c r="Q88" s="27"/>
      <c r="R88" s="27"/>
    </row>
    <row r="89" spans="15:18" ht="12.75">
      <c r="O89" s="27"/>
      <c r="P89" s="27"/>
      <c r="Q89" s="27"/>
      <c r="R89" s="27"/>
    </row>
    <row r="90" spans="15:18" ht="12.75">
      <c r="O90" s="27"/>
      <c r="P90" s="27"/>
      <c r="Q90" s="27"/>
      <c r="R90" s="27"/>
    </row>
    <row r="91" spans="15:18" ht="12.75">
      <c r="O91" s="27"/>
      <c r="P91" s="27"/>
      <c r="Q91" s="27"/>
      <c r="R91" s="27"/>
    </row>
    <row r="92" spans="15:18" ht="12.75">
      <c r="O92" s="27"/>
      <c r="P92" s="27"/>
      <c r="Q92" s="27"/>
      <c r="R92" s="27"/>
    </row>
    <row r="93" spans="15:18" ht="12.75">
      <c r="O93" s="27"/>
      <c r="P93" s="27"/>
      <c r="Q93" s="27"/>
      <c r="R93" s="27"/>
    </row>
    <row r="94" spans="15:18" ht="12.75">
      <c r="O94" s="27"/>
      <c r="P94" s="27"/>
      <c r="Q94" s="27"/>
      <c r="R94" s="27"/>
    </row>
    <row r="95" spans="15:18" ht="12.75">
      <c r="O95" s="27"/>
      <c r="P95" s="27"/>
      <c r="Q95" s="27"/>
      <c r="R95" s="27"/>
    </row>
    <row r="96" spans="15:18" ht="12.75">
      <c r="O96" s="27"/>
      <c r="P96" s="27"/>
      <c r="Q96" s="27"/>
      <c r="R96" s="27"/>
    </row>
  </sheetData>
  <sheetProtection/>
  <mergeCells count="328">
    <mergeCell ref="Q3:S3"/>
    <mergeCell ref="B2:Q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S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M46:M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M49:M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J76:J78"/>
    <mergeCell ref="K76:K78"/>
    <mergeCell ref="L76:L78"/>
    <mergeCell ref="M76:M78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E67:E69"/>
    <mergeCell ref="F67:F69"/>
    <mergeCell ref="G67:G69"/>
    <mergeCell ref="H67:H69"/>
    <mergeCell ref="I67:I69"/>
    <mergeCell ref="J67:J69"/>
    <mergeCell ref="K67:K69"/>
    <mergeCell ref="L67:L69"/>
    <mergeCell ref="M67:M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A73:A75"/>
    <mergeCell ref="B67:B69"/>
    <mergeCell ref="C73:C75"/>
    <mergeCell ref="D73:D75"/>
    <mergeCell ref="A67:A69"/>
    <mergeCell ref="C67:C69"/>
    <mergeCell ref="D67:D69"/>
    <mergeCell ref="M73:M75"/>
    <mergeCell ref="B73:B75"/>
    <mergeCell ref="I73:I75"/>
    <mergeCell ref="J73:J75"/>
    <mergeCell ref="K73:K75"/>
    <mergeCell ref="L73:L75"/>
    <mergeCell ref="E73:E75"/>
    <mergeCell ref="F73:F75"/>
    <mergeCell ref="G73:G75"/>
    <mergeCell ref="H73:H75"/>
  </mergeCells>
  <printOptions/>
  <pageMargins left="0.46" right="0.42" top="0.38" bottom="0.3" header="0.5" footer="0.5"/>
  <pageSetup fitToHeight="0" fitToWidth="1" horizontalDpi="600" verticalDpi="600" orientation="landscape" scale="72" r:id="rId3"/>
  <rowBreaks count="2" manualBreakCount="2">
    <brk id="33" max="19" man="1"/>
    <brk id="60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06"/>
  <sheetViews>
    <sheetView zoomScaleSheetLayoutView="100" workbookViewId="0" topLeftCell="A1">
      <pane xSplit="2" ySplit="7" topLeftCell="K7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69" sqref="Q69"/>
    </sheetView>
  </sheetViews>
  <sheetFormatPr defaultColWidth="9.00390625" defaultRowHeight="12.75"/>
  <cols>
    <col min="1" max="1" width="2.875" style="23" customWidth="1"/>
    <col min="2" max="2" width="19.875" style="23" customWidth="1"/>
    <col min="3" max="3" width="9.125" style="23" customWidth="1"/>
    <col min="4" max="4" width="8.00390625" style="23" customWidth="1"/>
    <col min="5" max="5" width="6.875" style="23" customWidth="1"/>
    <col min="6" max="6" width="9.25390625" style="23" customWidth="1"/>
    <col min="7" max="7" width="8.625" style="23" customWidth="1"/>
    <col min="8" max="8" width="9.375" style="23" customWidth="1"/>
    <col min="9" max="9" width="15.125" style="23" customWidth="1"/>
    <col min="10" max="10" width="8.25390625" style="23" customWidth="1"/>
    <col min="11" max="12" width="11.375" style="23" customWidth="1"/>
    <col min="13" max="13" width="12.625" style="23" customWidth="1"/>
    <col min="14" max="14" width="12.875" style="23" customWidth="1"/>
    <col min="15" max="15" width="9.875" style="23" customWidth="1"/>
    <col min="16" max="17" width="8.00390625" style="23" customWidth="1"/>
    <col min="18" max="18" width="8.125" style="23" customWidth="1"/>
    <col min="19" max="19" width="8.625" style="23" customWidth="1"/>
    <col min="20" max="16384" width="9.125" style="23" customWidth="1"/>
  </cols>
  <sheetData>
    <row r="2" spans="2:19" ht="15.75">
      <c r="B2" s="160" t="s">
        <v>54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25"/>
      <c r="S2" s="25"/>
    </row>
    <row r="3" spans="2:19" ht="15.75">
      <c r="B3" s="24" t="s">
        <v>292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59" t="s">
        <v>302</v>
      </c>
      <c r="R3" s="159"/>
      <c r="S3" s="159"/>
    </row>
    <row r="4" spans="1:19" ht="41.25" customHeight="1">
      <c r="A4" s="161" t="s">
        <v>0</v>
      </c>
      <c r="B4" s="157" t="s">
        <v>55</v>
      </c>
      <c r="C4" s="157" t="s">
        <v>56</v>
      </c>
      <c r="D4" s="157" t="s">
        <v>57</v>
      </c>
      <c r="E4" s="157" t="s">
        <v>58</v>
      </c>
      <c r="F4" s="157" t="s">
        <v>59</v>
      </c>
      <c r="G4" s="157" t="s">
        <v>60</v>
      </c>
      <c r="H4" s="157" t="s">
        <v>13</v>
      </c>
      <c r="I4" s="157" t="s">
        <v>14</v>
      </c>
      <c r="J4" s="157" t="s">
        <v>15</v>
      </c>
      <c r="K4" s="157" t="s">
        <v>16</v>
      </c>
      <c r="L4" s="157" t="s">
        <v>61</v>
      </c>
      <c r="M4" s="157" t="s">
        <v>62</v>
      </c>
      <c r="N4" s="170" t="s">
        <v>63</v>
      </c>
      <c r="O4" s="171"/>
      <c r="P4" s="171"/>
      <c r="Q4" s="171"/>
      <c r="R4" s="171"/>
      <c r="S4" s="172"/>
    </row>
    <row r="5" spans="1:19" ht="52.5" customHeight="1">
      <c r="A5" s="162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28" t="s">
        <v>22</v>
      </c>
      <c r="O5" s="29">
        <v>2006</v>
      </c>
      <c r="P5" s="29">
        <v>2007</v>
      </c>
      <c r="Q5" s="29">
        <v>2008</v>
      </c>
      <c r="R5" s="29">
        <v>2009</v>
      </c>
      <c r="S5" s="29">
        <v>2010</v>
      </c>
    </row>
    <row r="6" spans="1:19" ht="12.75">
      <c r="A6" s="30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9">
        <v>15</v>
      </c>
      <c r="P6" s="29">
        <v>16</v>
      </c>
      <c r="Q6" s="29">
        <v>17</v>
      </c>
      <c r="R6" s="29">
        <v>18</v>
      </c>
      <c r="S6" s="29">
        <v>19</v>
      </c>
    </row>
    <row r="7" spans="1:19" ht="15.75" customHeight="1">
      <c r="A7" s="31"/>
      <c r="B7" s="167" t="s">
        <v>160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  <c r="N7" s="32"/>
      <c r="O7" s="33"/>
      <c r="P7" s="33"/>
      <c r="Q7" s="33"/>
      <c r="R7" s="33"/>
      <c r="S7" s="33"/>
    </row>
    <row r="8" spans="1:19" ht="24" customHeight="1">
      <c r="A8" s="140">
        <v>1</v>
      </c>
      <c r="B8" s="142" t="s">
        <v>161</v>
      </c>
      <c r="C8" s="143" t="s">
        <v>294</v>
      </c>
      <c r="D8" s="142">
        <v>1957</v>
      </c>
      <c r="E8" s="144">
        <v>30</v>
      </c>
      <c r="F8" s="144">
        <v>1500</v>
      </c>
      <c r="G8" s="145"/>
      <c r="H8" s="145"/>
      <c r="I8" s="146" t="s">
        <v>162</v>
      </c>
      <c r="J8" s="146" t="s">
        <v>298</v>
      </c>
      <c r="K8" s="146" t="s">
        <v>163</v>
      </c>
      <c r="L8" s="146" t="s">
        <v>164</v>
      </c>
      <c r="M8" s="139">
        <f>SUM(O8:S10)</f>
        <v>1585</v>
      </c>
      <c r="N8" s="32" t="s">
        <v>19</v>
      </c>
      <c r="O8" s="35"/>
      <c r="P8" s="35"/>
      <c r="Q8" s="35"/>
      <c r="R8" s="35"/>
      <c r="S8" s="35"/>
    </row>
    <row r="9" spans="1:19" ht="24" customHeight="1">
      <c r="A9" s="140"/>
      <c r="B9" s="142"/>
      <c r="C9" s="133"/>
      <c r="D9" s="142"/>
      <c r="E9" s="144"/>
      <c r="F9" s="144"/>
      <c r="G9" s="145"/>
      <c r="H9" s="145"/>
      <c r="I9" s="147"/>
      <c r="J9" s="147"/>
      <c r="K9" s="147"/>
      <c r="L9" s="147"/>
      <c r="M9" s="139"/>
      <c r="N9" s="32" t="s">
        <v>69</v>
      </c>
      <c r="O9" s="35"/>
      <c r="P9" s="35"/>
      <c r="Q9" s="35"/>
      <c r="R9" s="35"/>
      <c r="S9" s="35"/>
    </row>
    <row r="10" spans="1:19" ht="24" customHeight="1">
      <c r="A10" s="141"/>
      <c r="B10" s="142"/>
      <c r="C10" s="134"/>
      <c r="D10" s="142"/>
      <c r="E10" s="144"/>
      <c r="F10" s="144"/>
      <c r="G10" s="145"/>
      <c r="H10" s="145"/>
      <c r="I10" s="148"/>
      <c r="J10" s="148"/>
      <c r="K10" s="148"/>
      <c r="L10" s="148"/>
      <c r="M10" s="139"/>
      <c r="N10" s="32" t="s">
        <v>21</v>
      </c>
      <c r="O10" s="35">
        <v>1585</v>
      </c>
      <c r="P10" s="35"/>
      <c r="Q10" s="35"/>
      <c r="R10" s="35"/>
      <c r="S10" s="35"/>
    </row>
    <row r="11" spans="1:19" ht="24" customHeight="1">
      <c r="A11" s="140">
        <v>2</v>
      </c>
      <c r="B11" s="142" t="s">
        <v>165</v>
      </c>
      <c r="C11" s="143" t="s">
        <v>294</v>
      </c>
      <c r="D11" s="142">
        <v>1984</v>
      </c>
      <c r="E11" s="144">
        <v>20</v>
      </c>
      <c r="F11" s="144">
        <v>700</v>
      </c>
      <c r="G11" s="145"/>
      <c r="H11" s="145"/>
      <c r="I11" s="146" t="s">
        <v>162</v>
      </c>
      <c r="J11" s="146" t="s">
        <v>298</v>
      </c>
      <c r="K11" s="146" t="s">
        <v>166</v>
      </c>
      <c r="L11" s="146" t="s">
        <v>167</v>
      </c>
      <c r="M11" s="139">
        <f>SUM(O11:S13)</f>
        <v>786</v>
      </c>
      <c r="N11" s="32" t="s">
        <v>19</v>
      </c>
      <c r="O11" s="35"/>
      <c r="P11" s="35"/>
      <c r="Q11" s="35"/>
      <c r="R11" s="35"/>
      <c r="S11" s="35"/>
    </row>
    <row r="12" spans="1:19" ht="24" customHeight="1">
      <c r="A12" s="140"/>
      <c r="B12" s="142"/>
      <c r="C12" s="133"/>
      <c r="D12" s="142"/>
      <c r="E12" s="144"/>
      <c r="F12" s="144"/>
      <c r="G12" s="145"/>
      <c r="H12" s="145"/>
      <c r="I12" s="147"/>
      <c r="J12" s="147"/>
      <c r="K12" s="147"/>
      <c r="L12" s="147"/>
      <c r="M12" s="139"/>
      <c r="N12" s="32" t="s">
        <v>69</v>
      </c>
      <c r="O12" s="35"/>
      <c r="P12" s="35"/>
      <c r="Q12" s="35"/>
      <c r="R12" s="35"/>
      <c r="S12" s="35"/>
    </row>
    <row r="13" spans="1:19" ht="24" customHeight="1">
      <c r="A13" s="141"/>
      <c r="B13" s="142"/>
      <c r="C13" s="134"/>
      <c r="D13" s="142"/>
      <c r="E13" s="144"/>
      <c r="F13" s="144"/>
      <c r="G13" s="145"/>
      <c r="H13" s="145"/>
      <c r="I13" s="148"/>
      <c r="J13" s="148"/>
      <c r="K13" s="148"/>
      <c r="L13" s="148"/>
      <c r="M13" s="139"/>
      <c r="N13" s="32" t="s">
        <v>21</v>
      </c>
      <c r="O13" s="35">
        <v>786</v>
      </c>
      <c r="P13" s="35"/>
      <c r="Q13" s="35"/>
      <c r="R13" s="35"/>
      <c r="S13" s="35"/>
    </row>
    <row r="14" spans="1:19" ht="24" customHeight="1">
      <c r="A14" s="140">
        <v>3</v>
      </c>
      <c r="B14" s="142" t="s">
        <v>168</v>
      </c>
      <c r="C14" s="143" t="s">
        <v>294</v>
      </c>
      <c r="D14" s="142">
        <v>1989</v>
      </c>
      <c r="E14" s="144">
        <v>20</v>
      </c>
      <c r="F14" s="144">
        <v>1000</v>
      </c>
      <c r="G14" s="145"/>
      <c r="H14" s="145"/>
      <c r="I14" s="146" t="s">
        <v>162</v>
      </c>
      <c r="J14" s="146" t="s">
        <v>298</v>
      </c>
      <c r="K14" s="146" t="s">
        <v>169</v>
      </c>
      <c r="L14" s="146" t="s">
        <v>170</v>
      </c>
      <c r="M14" s="139">
        <f>SUM(O14:S16)</f>
        <v>1000</v>
      </c>
      <c r="N14" s="32" t="s">
        <v>19</v>
      </c>
      <c r="O14" s="35"/>
      <c r="P14" s="35"/>
      <c r="Q14" s="35"/>
      <c r="R14" s="35"/>
      <c r="S14" s="35"/>
    </row>
    <row r="15" spans="1:19" ht="24" customHeight="1">
      <c r="A15" s="140"/>
      <c r="B15" s="142"/>
      <c r="C15" s="133"/>
      <c r="D15" s="142"/>
      <c r="E15" s="144"/>
      <c r="F15" s="144"/>
      <c r="G15" s="145"/>
      <c r="H15" s="145"/>
      <c r="I15" s="147"/>
      <c r="J15" s="147"/>
      <c r="K15" s="147"/>
      <c r="L15" s="147"/>
      <c r="M15" s="139"/>
      <c r="N15" s="32" t="s">
        <v>69</v>
      </c>
      <c r="O15" s="35"/>
      <c r="P15" s="35"/>
      <c r="Q15" s="35"/>
      <c r="R15" s="35"/>
      <c r="S15" s="35"/>
    </row>
    <row r="16" spans="1:19" ht="24" customHeight="1">
      <c r="A16" s="141"/>
      <c r="B16" s="142"/>
      <c r="C16" s="134"/>
      <c r="D16" s="142"/>
      <c r="E16" s="144"/>
      <c r="F16" s="144"/>
      <c r="G16" s="145"/>
      <c r="H16" s="145"/>
      <c r="I16" s="148"/>
      <c r="J16" s="148"/>
      <c r="K16" s="148"/>
      <c r="L16" s="148"/>
      <c r="M16" s="139"/>
      <c r="N16" s="32" t="s">
        <v>21</v>
      </c>
      <c r="O16" s="35">
        <v>1000</v>
      </c>
      <c r="P16" s="35"/>
      <c r="Q16" s="35"/>
      <c r="R16" s="35"/>
      <c r="S16" s="35"/>
    </row>
    <row r="17" spans="1:19" ht="24" customHeight="1">
      <c r="A17" s="140">
        <v>4</v>
      </c>
      <c r="B17" s="142" t="s">
        <v>171</v>
      </c>
      <c r="C17" s="143" t="s">
        <v>294</v>
      </c>
      <c r="D17" s="142">
        <v>1982</v>
      </c>
      <c r="E17" s="144">
        <v>20</v>
      </c>
      <c r="F17" s="144">
        <v>1100</v>
      </c>
      <c r="G17" s="145"/>
      <c r="H17" s="145"/>
      <c r="I17" s="146" t="s">
        <v>162</v>
      </c>
      <c r="J17" s="146" t="s">
        <v>299</v>
      </c>
      <c r="K17" s="146" t="s">
        <v>172</v>
      </c>
      <c r="L17" s="146" t="s">
        <v>173</v>
      </c>
      <c r="M17" s="139">
        <f>SUM(O17:S19)</f>
        <v>1100</v>
      </c>
      <c r="N17" s="32" t="s">
        <v>19</v>
      </c>
      <c r="O17" s="35"/>
      <c r="P17" s="35"/>
      <c r="Q17" s="35"/>
      <c r="R17" s="35"/>
      <c r="S17" s="35"/>
    </row>
    <row r="18" spans="1:19" ht="24" customHeight="1">
      <c r="A18" s="140"/>
      <c r="B18" s="142"/>
      <c r="C18" s="133"/>
      <c r="D18" s="142"/>
      <c r="E18" s="144"/>
      <c r="F18" s="144"/>
      <c r="G18" s="145"/>
      <c r="H18" s="145"/>
      <c r="I18" s="147"/>
      <c r="J18" s="147"/>
      <c r="K18" s="147"/>
      <c r="L18" s="147"/>
      <c r="M18" s="139"/>
      <c r="N18" s="32" t="s">
        <v>69</v>
      </c>
      <c r="O18" s="35"/>
      <c r="P18" s="35"/>
      <c r="Q18" s="35"/>
      <c r="R18" s="35"/>
      <c r="S18" s="35"/>
    </row>
    <row r="19" spans="1:19" ht="24" customHeight="1">
      <c r="A19" s="141"/>
      <c r="B19" s="142"/>
      <c r="C19" s="134"/>
      <c r="D19" s="142"/>
      <c r="E19" s="144"/>
      <c r="F19" s="144"/>
      <c r="G19" s="145"/>
      <c r="H19" s="145"/>
      <c r="I19" s="148"/>
      <c r="J19" s="148"/>
      <c r="K19" s="148"/>
      <c r="L19" s="148"/>
      <c r="M19" s="139"/>
      <c r="N19" s="32" t="s">
        <v>21</v>
      </c>
      <c r="O19" s="35">
        <v>1100</v>
      </c>
      <c r="P19" s="35"/>
      <c r="Q19" s="35"/>
      <c r="R19" s="35"/>
      <c r="S19" s="35"/>
    </row>
    <row r="20" spans="1:19" ht="24" customHeight="1">
      <c r="A20" s="140">
        <v>5</v>
      </c>
      <c r="B20" s="142" t="s">
        <v>174</v>
      </c>
      <c r="C20" s="143" t="s">
        <v>294</v>
      </c>
      <c r="D20" s="142">
        <v>1979</v>
      </c>
      <c r="E20" s="144">
        <v>20</v>
      </c>
      <c r="F20" s="144">
        <v>500</v>
      </c>
      <c r="G20" s="145"/>
      <c r="H20" s="145"/>
      <c r="I20" s="146" t="s">
        <v>162</v>
      </c>
      <c r="J20" s="146" t="s">
        <v>299</v>
      </c>
      <c r="K20" s="146" t="s">
        <v>175</v>
      </c>
      <c r="L20" s="146" t="s">
        <v>176</v>
      </c>
      <c r="M20" s="139">
        <f>SUM(O20:S22)</f>
        <v>500</v>
      </c>
      <c r="N20" s="32" t="s">
        <v>19</v>
      </c>
      <c r="O20" s="35"/>
      <c r="P20" s="35"/>
      <c r="Q20" s="35"/>
      <c r="R20" s="35"/>
      <c r="S20" s="35"/>
    </row>
    <row r="21" spans="1:19" ht="24" customHeight="1">
      <c r="A21" s="140"/>
      <c r="B21" s="142"/>
      <c r="C21" s="133"/>
      <c r="D21" s="142"/>
      <c r="E21" s="144"/>
      <c r="F21" s="144"/>
      <c r="G21" s="145"/>
      <c r="H21" s="145"/>
      <c r="I21" s="147"/>
      <c r="J21" s="147"/>
      <c r="K21" s="147"/>
      <c r="L21" s="147"/>
      <c r="M21" s="139"/>
      <c r="N21" s="32" t="s">
        <v>69</v>
      </c>
      <c r="O21" s="35"/>
      <c r="P21" s="35"/>
      <c r="Q21" s="35"/>
      <c r="R21" s="35"/>
      <c r="S21" s="35"/>
    </row>
    <row r="22" spans="1:19" ht="24" customHeight="1">
      <c r="A22" s="141"/>
      <c r="B22" s="142"/>
      <c r="C22" s="134"/>
      <c r="D22" s="142"/>
      <c r="E22" s="144"/>
      <c r="F22" s="144"/>
      <c r="G22" s="145"/>
      <c r="H22" s="145"/>
      <c r="I22" s="148"/>
      <c r="J22" s="148"/>
      <c r="K22" s="148"/>
      <c r="L22" s="148"/>
      <c r="M22" s="139"/>
      <c r="N22" s="32" t="s">
        <v>21</v>
      </c>
      <c r="O22" s="35">
        <v>500</v>
      </c>
      <c r="P22" s="35"/>
      <c r="Q22" s="35"/>
      <c r="R22" s="35"/>
      <c r="S22" s="35"/>
    </row>
    <row r="23" spans="1:19" ht="24" customHeight="1">
      <c r="A23" s="140">
        <v>6</v>
      </c>
      <c r="B23" s="142" t="s">
        <v>225</v>
      </c>
      <c r="C23" s="143" t="s">
        <v>294</v>
      </c>
      <c r="D23" s="142">
        <v>1978</v>
      </c>
      <c r="E23" s="144">
        <v>20</v>
      </c>
      <c r="F23" s="144">
        <v>600</v>
      </c>
      <c r="G23" s="145"/>
      <c r="H23" s="145"/>
      <c r="I23" s="146" t="s">
        <v>162</v>
      </c>
      <c r="J23" s="146" t="s">
        <v>299</v>
      </c>
      <c r="K23" s="146" t="s">
        <v>175</v>
      </c>
      <c r="L23" s="146" t="s">
        <v>176</v>
      </c>
      <c r="M23" s="139">
        <f>SUM(O23:S25)</f>
        <v>600</v>
      </c>
      <c r="N23" s="32" t="s">
        <v>19</v>
      </c>
      <c r="O23" s="35"/>
      <c r="P23" s="35"/>
      <c r="Q23" s="35"/>
      <c r="R23" s="35"/>
      <c r="S23" s="35"/>
    </row>
    <row r="24" spans="1:19" ht="24" customHeight="1">
      <c r="A24" s="140"/>
      <c r="B24" s="142"/>
      <c r="C24" s="133"/>
      <c r="D24" s="142"/>
      <c r="E24" s="144"/>
      <c r="F24" s="144"/>
      <c r="G24" s="145"/>
      <c r="H24" s="145"/>
      <c r="I24" s="147"/>
      <c r="J24" s="147"/>
      <c r="K24" s="147"/>
      <c r="L24" s="147"/>
      <c r="M24" s="139"/>
      <c r="N24" s="32" t="s">
        <v>69</v>
      </c>
      <c r="O24" s="35"/>
      <c r="P24" s="35"/>
      <c r="Q24" s="35"/>
      <c r="R24" s="35"/>
      <c r="S24" s="35"/>
    </row>
    <row r="25" spans="1:19" ht="24" customHeight="1">
      <c r="A25" s="141"/>
      <c r="B25" s="142"/>
      <c r="C25" s="134"/>
      <c r="D25" s="142"/>
      <c r="E25" s="144"/>
      <c r="F25" s="144"/>
      <c r="G25" s="145"/>
      <c r="H25" s="145"/>
      <c r="I25" s="148"/>
      <c r="J25" s="148"/>
      <c r="K25" s="148"/>
      <c r="L25" s="148"/>
      <c r="M25" s="139"/>
      <c r="N25" s="32" t="s">
        <v>21</v>
      </c>
      <c r="O25" s="35">
        <v>600</v>
      </c>
      <c r="P25" s="35"/>
      <c r="Q25" s="35"/>
      <c r="R25" s="35"/>
      <c r="S25" s="35"/>
    </row>
    <row r="26" spans="1:19" ht="24" customHeight="1">
      <c r="A26" s="140">
        <v>7</v>
      </c>
      <c r="B26" s="142" t="s">
        <v>177</v>
      </c>
      <c r="C26" s="143"/>
      <c r="D26" s="142">
        <v>1981</v>
      </c>
      <c r="E26" s="144">
        <v>30</v>
      </c>
      <c r="F26" s="144">
        <v>1300</v>
      </c>
      <c r="G26" s="145"/>
      <c r="H26" s="145"/>
      <c r="I26" s="146" t="s">
        <v>162</v>
      </c>
      <c r="J26" s="146" t="s">
        <v>299</v>
      </c>
      <c r="K26" s="146" t="s">
        <v>178</v>
      </c>
      <c r="L26" s="146" t="s">
        <v>179</v>
      </c>
      <c r="M26" s="139">
        <f>SUM(O26:S28)</f>
        <v>705</v>
      </c>
      <c r="N26" s="32" t="s">
        <v>19</v>
      </c>
      <c r="O26" s="35"/>
      <c r="P26" s="35"/>
      <c r="Q26" s="35"/>
      <c r="R26" s="35"/>
      <c r="S26" s="35"/>
    </row>
    <row r="27" spans="1:19" ht="24" customHeight="1">
      <c r="A27" s="140"/>
      <c r="B27" s="142"/>
      <c r="C27" s="133"/>
      <c r="D27" s="142"/>
      <c r="E27" s="144"/>
      <c r="F27" s="144"/>
      <c r="G27" s="145"/>
      <c r="H27" s="145"/>
      <c r="I27" s="147"/>
      <c r="J27" s="147"/>
      <c r="K27" s="147"/>
      <c r="L27" s="147"/>
      <c r="M27" s="139"/>
      <c r="N27" s="32" t="s">
        <v>69</v>
      </c>
      <c r="O27" s="35"/>
      <c r="P27" s="35"/>
      <c r="Q27" s="35"/>
      <c r="R27" s="35"/>
      <c r="S27" s="35"/>
    </row>
    <row r="28" spans="1:19" ht="24" customHeight="1">
      <c r="A28" s="141"/>
      <c r="B28" s="142"/>
      <c r="C28" s="134"/>
      <c r="D28" s="142"/>
      <c r="E28" s="144"/>
      <c r="F28" s="144"/>
      <c r="G28" s="145"/>
      <c r="H28" s="145"/>
      <c r="I28" s="148"/>
      <c r="J28" s="148"/>
      <c r="K28" s="148"/>
      <c r="L28" s="148"/>
      <c r="M28" s="139"/>
      <c r="N28" s="32" t="s">
        <v>21</v>
      </c>
      <c r="O28" s="35">
        <v>705</v>
      </c>
      <c r="P28" s="35"/>
      <c r="Q28" s="35"/>
      <c r="R28" s="35"/>
      <c r="S28" s="35"/>
    </row>
    <row r="29" spans="1:19" ht="24" customHeight="1">
      <c r="A29" s="140">
        <v>8</v>
      </c>
      <c r="B29" s="142" t="s">
        <v>180</v>
      </c>
      <c r="C29" s="143"/>
      <c r="D29" s="142">
        <v>1978</v>
      </c>
      <c r="E29" s="144">
        <v>20</v>
      </c>
      <c r="F29" s="144"/>
      <c r="G29" s="145"/>
      <c r="H29" s="145"/>
      <c r="I29" s="146" t="s">
        <v>162</v>
      </c>
      <c r="J29" s="146" t="s">
        <v>299</v>
      </c>
      <c r="K29" s="146" t="s">
        <v>175</v>
      </c>
      <c r="L29" s="146" t="s">
        <v>176</v>
      </c>
      <c r="M29" s="139">
        <f>SUM(O29:S31)</f>
        <v>800</v>
      </c>
      <c r="N29" s="32" t="s">
        <v>19</v>
      </c>
      <c r="O29" s="35"/>
      <c r="P29" s="35"/>
      <c r="Q29" s="35"/>
      <c r="R29" s="35"/>
      <c r="S29" s="35"/>
    </row>
    <row r="30" spans="1:19" ht="24" customHeight="1">
      <c r="A30" s="140"/>
      <c r="B30" s="142"/>
      <c r="C30" s="133"/>
      <c r="D30" s="142"/>
      <c r="E30" s="144"/>
      <c r="F30" s="144"/>
      <c r="G30" s="145"/>
      <c r="H30" s="145"/>
      <c r="I30" s="147"/>
      <c r="J30" s="147"/>
      <c r="K30" s="147"/>
      <c r="L30" s="147"/>
      <c r="M30" s="139"/>
      <c r="N30" s="32" t="s">
        <v>69</v>
      </c>
      <c r="O30" s="35"/>
      <c r="P30" s="35"/>
      <c r="Q30" s="35"/>
      <c r="R30" s="35"/>
      <c r="S30" s="35"/>
    </row>
    <row r="31" spans="1:19" ht="24" customHeight="1">
      <c r="A31" s="141"/>
      <c r="B31" s="142"/>
      <c r="C31" s="134"/>
      <c r="D31" s="142"/>
      <c r="E31" s="144"/>
      <c r="F31" s="144"/>
      <c r="G31" s="145"/>
      <c r="H31" s="145"/>
      <c r="I31" s="148"/>
      <c r="J31" s="148"/>
      <c r="K31" s="148"/>
      <c r="L31" s="148"/>
      <c r="M31" s="139"/>
      <c r="N31" s="32" t="s">
        <v>21</v>
      </c>
      <c r="O31" s="35"/>
      <c r="P31" s="35">
        <v>800</v>
      </c>
      <c r="Q31" s="35"/>
      <c r="R31" s="35"/>
      <c r="S31" s="35"/>
    </row>
    <row r="32" spans="1:19" ht="24" customHeight="1">
      <c r="A32" s="140">
        <v>9</v>
      </c>
      <c r="B32" s="142" t="s">
        <v>181</v>
      </c>
      <c r="C32" s="143"/>
      <c r="D32" s="142" t="s">
        <v>182</v>
      </c>
      <c r="E32" s="144">
        <v>30</v>
      </c>
      <c r="F32" s="144"/>
      <c r="G32" s="145"/>
      <c r="H32" s="145"/>
      <c r="I32" s="146" t="s">
        <v>162</v>
      </c>
      <c r="J32" s="146" t="s">
        <v>298</v>
      </c>
      <c r="K32" s="146" t="s">
        <v>183</v>
      </c>
      <c r="L32" s="146" t="s">
        <v>184</v>
      </c>
      <c r="M32" s="139">
        <f>SUM(O32:S34)</f>
        <v>2576</v>
      </c>
      <c r="N32" s="32" t="s">
        <v>19</v>
      </c>
      <c r="O32" s="35"/>
      <c r="P32" s="35"/>
      <c r="Q32" s="35"/>
      <c r="R32" s="35"/>
      <c r="S32" s="35"/>
    </row>
    <row r="33" spans="1:19" ht="24" customHeight="1">
      <c r="A33" s="140"/>
      <c r="B33" s="142"/>
      <c r="C33" s="133"/>
      <c r="D33" s="142"/>
      <c r="E33" s="144"/>
      <c r="F33" s="144"/>
      <c r="G33" s="145"/>
      <c r="H33" s="145"/>
      <c r="I33" s="147"/>
      <c r="J33" s="147"/>
      <c r="K33" s="147"/>
      <c r="L33" s="147"/>
      <c r="M33" s="139"/>
      <c r="N33" s="32" t="s">
        <v>69</v>
      </c>
      <c r="O33" s="35"/>
      <c r="P33" s="35"/>
      <c r="Q33" s="35"/>
      <c r="R33" s="35"/>
      <c r="S33" s="35"/>
    </row>
    <row r="34" spans="1:19" ht="24" customHeight="1">
      <c r="A34" s="141"/>
      <c r="B34" s="142"/>
      <c r="C34" s="134"/>
      <c r="D34" s="142"/>
      <c r="E34" s="144"/>
      <c r="F34" s="144"/>
      <c r="G34" s="145"/>
      <c r="H34" s="145"/>
      <c r="I34" s="148"/>
      <c r="J34" s="148"/>
      <c r="K34" s="148"/>
      <c r="L34" s="148"/>
      <c r="M34" s="139"/>
      <c r="N34" s="32" t="s">
        <v>21</v>
      </c>
      <c r="O34" s="35"/>
      <c r="P34" s="35">
        <v>35</v>
      </c>
      <c r="Q34" s="35">
        <f>2576-35-27</f>
        <v>2514</v>
      </c>
      <c r="R34" s="35">
        <v>27</v>
      </c>
      <c r="S34" s="35"/>
    </row>
    <row r="35" spans="1:19" ht="24" customHeight="1">
      <c r="A35" s="140">
        <v>10</v>
      </c>
      <c r="B35" s="142" t="s">
        <v>187</v>
      </c>
      <c r="C35" s="143"/>
      <c r="D35" s="142">
        <v>1975</v>
      </c>
      <c r="E35" s="144">
        <v>30</v>
      </c>
      <c r="F35" s="144"/>
      <c r="G35" s="145"/>
      <c r="H35" s="145"/>
      <c r="I35" s="146" t="s">
        <v>162</v>
      </c>
      <c r="J35" s="146" t="s">
        <v>298</v>
      </c>
      <c r="K35" s="146" t="s">
        <v>185</v>
      </c>
      <c r="L35" s="146" t="s">
        <v>186</v>
      </c>
      <c r="M35" s="139">
        <f>SUM(O35:S37)</f>
        <v>692</v>
      </c>
      <c r="N35" s="32" t="s">
        <v>19</v>
      </c>
      <c r="O35" s="35"/>
      <c r="P35" s="35"/>
      <c r="Q35" s="35"/>
      <c r="R35" s="35"/>
      <c r="S35" s="35"/>
    </row>
    <row r="36" spans="1:19" ht="24" customHeight="1">
      <c r="A36" s="140"/>
      <c r="B36" s="142"/>
      <c r="C36" s="133"/>
      <c r="D36" s="142"/>
      <c r="E36" s="144"/>
      <c r="F36" s="144"/>
      <c r="G36" s="145"/>
      <c r="H36" s="145"/>
      <c r="I36" s="147"/>
      <c r="J36" s="147"/>
      <c r="K36" s="147"/>
      <c r="L36" s="147"/>
      <c r="M36" s="139"/>
      <c r="N36" s="32" t="s">
        <v>69</v>
      </c>
      <c r="O36" s="35"/>
      <c r="P36" s="35"/>
      <c r="Q36" s="35"/>
      <c r="R36" s="35"/>
      <c r="S36" s="35"/>
    </row>
    <row r="37" spans="1:19" ht="24" customHeight="1">
      <c r="A37" s="141"/>
      <c r="B37" s="142"/>
      <c r="C37" s="134"/>
      <c r="D37" s="142"/>
      <c r="E37" s="144"/>
      <c r="F37" s="144"/>
      <c r="G37" s="145"/>
      <c r="H37" s="145"/>
      <c r="I37" s="148"/>
      <c r="J37" s="148"/>
      <c r="K37" s="148"/>
      <c r="L37" s="148"/>
      <c r="M37" s="139"/>
      <c r="N37" s="32" t="s">
        <v>21</v>
      </c>
      <c r="O37" s="35"/>
      <c r="P37" s="35"/>
      <c r="Q37" s="35"/>
      <c r="R37" s="35">
        <v>692</v>
      </c>
      <c r="S37" s="35"/>
    </row>
    <row r="38" spans="1:19" ht="24" customHeight="1">
      <c r="A38" s="140">
        <v>11</v>
      </c>
      <c r="B38" s="142" t="s">
        <v>188</v>
      </c>
      <c r="C38" s="143"/>
      <c r="D38" s="142">
        <v>1957</v>
      </c>
      <c r="E38" s="144">
        <v>30</v>
      </c>
      <c r="F38" s="144"/>
      <c r="G38" s="145"/>
      <c r="H38" s="145"/>
      <c r="I38" s="146" t="s">
        <v>162</v>
      </c>
      <c r="J38" s="146" t="s">
        <v>298</v>
      </c>
      <c r="K38" s="146" t="s">
        <v>189</v>
      </c>
      <c r="L38" s="146" t="s">
        <v>167</v>
      </c>
      <c r="M38" s="139">
        <f>SUM(O38:S40)</f>
        <v>1154</v>
      </c>
      <c r="N38" s="32" t="s">
        <v>19</v>
      </c>
      <c r="O38" s="35"/>
      <c r="P38" s="35"/>
      <c r="Q38" s="35"/>
      <c r="R38" s="35"/>
      <c r="S38" s="35"/>
    </row>
    <row r="39" spans="1:19" ht="24" customHeight="1">
      <c r="A39" s="140"/>
      <c r="B39" s="142"/>
      <c r="C39" s="133"/>
      <c r="D39" s="142"/>
      <c r="E39" s="144"/>
      <c r="F39" s="144"/>
      <c r="G39" s="145"/>
      <c r="H39" s="145"/>
      <c r="I39" s="147"/>
      <c r="J39" s="147"/>
      <c r="K39" s="147"/>
      <c r="L39" s="147"/>
      <c r="M39" s="139"/>
      <c r="N39" s="32" t="s">
        <v>69</v>
      </c>
      <c r="O39" s="35"/>
      <c r="P39" s="35"/>
      <c r="Q39" s="35"/>
      <c r="R39" s="35"/>
      <c r="S39" s="35"/>
    </row>
    <row r="40" spans="1:19" ht="24" customHeight="1">
      <c r="A40" s="141"/>
      <c r="B40" s="142"/>
      <c r="C40" s="134"/>
      <c r="D40" s="142"/>
      <c r="E40" s="144"/>
      <c r="F40" s="144"/>
      <c r="G40" s="145"/>
      <c r="H40" s="145"/>
      <c r="I40" s="148"/>
      <c r="J40" s="148"/>
      <c r="K40" s="148"/>
      <c r="L40" s="148"/>
      <c r="M40" s="139"/>
      <c r="N40" s="32" t="s">
        <v>21</v>
      </c>
      <c r="O40" s="35"/>
      <c r="P40" s="35"/>
      <c r="Q40" s="35"/>
      <c r="R40" s="35">
        <v>1154</v>
      </c>
      <c r="S40" s="35"/>
    </row>
    <row r="41" spans="1:19" ht="24" customHeight="1">
      <c r="A41" s="140">
        <v>12</v>
      </c>
      <c r="B41" s="142" t="s">
        <v>190</v>
      </c>
      <c r="C41" s="143"/>
      <c r="D41" s="142">
        <v>1976</v>
      </c>
      <c r="E41" s="144">
        <v>20</v>
      </c>
      <c r="F41" s="144"/>
      <c r="G41" s="145"/>
      <c r="H41" s="145"/>
      <c r="I41" s="146" t="s">
        <v>162</v>
      </c>
      <c r="J41" s="146" t="s">
        <v>298</v>
      </c>
      <c r="K41" s="146" t="s">
        <v>191</v>
      </c>
      <c r="L41" s="146" t="s">
        <v>192</v>
      </c>
      <c r="M41" s="139">
        <f>SUM(O41:S43)</f>
        <v>524</v>
      </c>
      <c r="N41" s="32" t="s">
        <v>19</v>
      </c>
      <c r="O41" s="35"/>
      <c r="P41" s="35"/>
      <c r="Q41" s="35"/>
      <c r="R41" s="35"/>
      <c r="S41" s="35"/>
    </row>
    <row r="42" spans="1:19" ht="24" customHeight="1">
      <c r="A42" s="140"/>
      <c r="B42" s="142"/>
      <c r="C42" s="133"/>
      <c r="D42" s="142"/>
      <c r="E42" s="144"/>
      <c r="F42" s="144"/>
      <c r="G42" s="145"/>
      <c r="H42" s="145"/>
      <c r="I42" s="147"/>
      <c r="J42" s="147"/>
      <c r="K42" s="147"/>
      <c r="L42" s="147"/>
      <c r="M42" s="139"/>
      <c r="N42" s="32" t="s">
        <v>69</v>
      </c>
      <c r="O42" s="35"/>
      <c r="P42" s="35"/>
      <c r="Q42" s="35"/>
      <c r="R42" s="35"/>
      <c r="S42" s="35"/>
    </row>
    <row r="43" spans="1:19" ht="24" customHeight="1">
      <c r="A43" s="141"/>
      <c r="B43" s="142"/>
      <c r="C43" s="134"/>
      <c r="D43" s="142"/>
      <c r="E43" s="144"/>
      <c r="F43" s="144"/>
      <c r="G43" s="145"/>
      <c r="H43" s="145"/>
      <c r="I43" s="148"/>
      <c r="J43" s="148"/>
      <c r="K43" s="148"/>
      <c r="L43" s="148"/>
      <c r="M43" s="139"/>
      <c r="N43" s="32" t="s">
        <v>21</v>
      </c>
      <c r="O43" s="35"/>
      <c r="P43" s="35"/>
      <c r="Q43" s="35"/>
      <c r="R43" s="35">
        <f>527-3</f>
        <v>524</v>
      </c>
      <c r="S43" s="35"/>
    </row>
    <row r="44" spans="1:19" ht="24" customHeight="1">
      <c r="A44" s="163">
        <v>13</v>
      </c>
      <c r="B44" s="146" t="s">
        <v>193</v>
      </c>
      <c r="C44" s="143"/>
      <c r="D44" s="146">
        <v>1981</v>
      </c>
      <c r="E44" s="154">
        <v>20</v>
      </c>
      <c r="F44" s="154"/>
      <c r="G44" s="164"/>
      <c r="H44" s="164"/>
      <c r="I44" s="146" t="s">
        <v>162</v>
      </c>
      <c r="J44" s="146" t="s">
        <v>298</v>
      </c>
      <c r="K44" s="146" t="s">
        <v>194</v>
      </c>
      <c r="L44" s="146" t="s">
        <v>195</v>
      </c>
      <c r="M44" s="163">
        <f>SUM(O44:S46)</f>
        <v>472</v>
      </c>
      <c r="N44" s="32" t="s">
        <v>19</v>
      </c>
      <c r="O44" s="35"/>
      <c r="P44" s="35"/>
      <c r="Q44" s="35"/>
      <c r="R44" s="35"/>
      <c r="S44" s="35"/>
    </row>
    <row r="45" spans="1:19" ht="24" customHeight="1">
      <c r="A45" s="140"/>
      <c r="B45" s="147"/>
      <c r="C45" s="133"/>
      <c r="D45" s="147"/>
      <c r="E45" s="155"/>
      <c r="F45" s="155"/>
      <c r="G45" s="165"/>
      <c r="H45" s="165"/>
      <c r="I45" s="147"/>
      <c r="J45" s="147"/>
      <c r="K45" s="147"/>
      <c r="L45" s="147"/>
      <c r="M45" s="140"/>
      <c r="N45" s="32" t="s">
        <v>69</v>
      </c>
      <c r="O45" s="35"/>
      <c r="P45" s="35"/>
      <c r="Q45" s="35"/>
      <c r="R45" s="35"/>
      <c r="S45" s="35"/>
    </row>
    <row r="46" spans="1:19" ht="24" customHeight="1">
      <c r="A46" s="141"/>
      <c r="B46" s="148"/>
      <c r="C46" s="134"/>
      <c r="D46" s="148"/>
      <c r="E46" s="156"/>
      <c r="F46" s="156"/>
      <c r="G46" s="166"/>
      <c r="H46" s="166"/>
      <c r="I46" s="148"/>
      <c r="J46" s="148"/>
      <c r="K46" s="148"/>
      <c r="L46" s="148"/>
      <c r="M46" s="141"/>
      <c r="N46" s="32" t="s">
        <v>21</v>
      </c>
      <c r="O46" s="35"/>
      <c r="P46" s="35"/>
      <c r="Q46" s="35"/>
      <c r="R46" s="35">
        <v>472</v>
      </c>
      <c r="S46" s="35"/>
    </row>
    <row r="47" spans="1:19" ht="24" customHeight="1">
      <c r="A47" s="163">
        <v>14</v>
      </c>
      <c r="B47" s="146" t="s">
        <v>196</v>
      </c>
      <c r="C47" s="143"/>
      <c r="D47" s="146">
        <v>1989</v>
      </c>
      <c r="E47" s="154">
        <v>20</v>
      </c>
      <c r="F47" s="154"/>
      <c r="G47" s="164"/>
      <c r="H47" s="164"/>
      <c r="I47" s="146" t="s">
        <v>162</v>
      </c>
      <c r="J47" s="146" t="s">
        <v>299</v>
      </c>
      <c r="K47" s="146" t="s">
        <v>197</v>
      </c>
      <c r="L47" s="146" t="s">
        <v>198</v>
      </c>
      <c r="M47" s="163">
        <f>SUM(O47:S49)</f>
        <v>1422</v>
      </c>
      <c r="N47" s="32" t="s">
        <v>19</v>
      </c>
      <c r="O47" s="35"/>
      <c r="P47" s="35"/>
      <c r="Q47" s="35"/>
      <c r="R47" s="35"/>
      <c r="S47" s="35"/>
    </row>
    <row r="48" spans="1:19" ht="24" customHeight="1">
      <c r="A48" s="140"/>
      <c r="B48" s="147"/>
      <c r="C48" s="133"/>
      <c r="D48" s="147"/>
      <c r="E48" s="155"/>
      <c r="F48" s="155"/>
      <c r="G48" s="165"/>
      <c r="H48" s="165"/>
      <c r="I48" s="147"/>
      <c r="J48" s="147"/>
      <c r="K48" s="147"/>
      <c r="L48" s="147"/>
      <c r="M48" s="140"/>
      <c r="N48" s="32" t="s">
        <v>69</v>
      </c>
      <c r="O48" s="35"/>
      <c r="P48" s="35"/>
      <c r="Q48" s="35"/>
      <c r="R48" s="35"/>
      <c r="S48" s="35"/>
    </row>
    <row r="49" spans="1:19" ht="24" customHeight="1">
      <c r="A49" s="141"/>
      <c r="B49" s="148"/>
      <c r="C49" s="134"/>
      <c r="D49" s="148"/>
      <c r="E49" s="156"/>
      <c r="F49" s="156"/>
      <c r="G49" s="166"/>
      <c r="H49" s="166"/>
      <c r="I49" s="148"/>
      <c r="J49" s="148"/>
      <c r="K49" s="148"/>
      <c r="L49" s="148"/>
      <c r="M49" s="141"/>
      <c r="N49" s="32" t="s">
        <v>21</v>
      </c>
      <c r="O49" s="35"/>
      <c r="P49" s="35"/>
      <c r="Q49" s="35"/>
      <c r="R49" s="35">
        <v>1422</v>
      </c>
      <c r="S49" s="35"/>
    </row>
    <row r="50" spans="1:19" ht="24" customHeight="1">
      <c r="A50" s="163">
        <v>15</v>
      </c>
      <c r="B50" s="146" t="s">
        <v>199</v>
      </c>
      <c r="C50" s="143"/>
      <c r="D50" s="146">
        <v>1975</v>
      </c>
      <c r="E50" s="154">
        <v>20</v>
      </c>
      <c r="F50" s="154"/>
      <c r="G50" s="164"/>
      <c r="H50" s="164"/>
      <c r="I50" s="146" t="s">
        <v>162</v>
      </c>
      <c r="J50" s="146" t="s">
        <v>299</v>
      </c>
      <c r="K50" s="146" t="s">
        <v>191</v>
      </c>
      <c r="L50" s="146" t="s">
        <v>192</v>
      </c>
      <c r="M50" s="163">
        <f>SUM(O50:S52)</f>
        <v>590</v>
      </c>
      <c r="N50" s="32" t="s">
        <v>19</v>
      </c>
      <c r="O50" s="35"/>
      <c r="P50" s="35"/>
      <c r="Q50" s="35"/>
      <c r="R50" s="35"/>
      <c r="S50" s="35"/>
    </row>
    <row r="51" spans="1:19" ht="24" customHeight="1">
      <c r="A51" s="140"/>
      <c r="B51" s="147"/>
      <c r="C51" s="133"/>
      <c r="D51" s="147"/>
      <c r="E51" s="155"/>
      <c r="F51" s="155"/>
      <c r="G51" s="165"/>
      <c r="H51" s="165"/>
      <c r="I51" s="147"/>
      <c r="J51" s="147"/>
      <c r="K51" s="147"/>
      <c r="L51" s="147"/>
      <c r="M51" s="140"/>
      <c r="N51" s="32" t="s">
        <v>69</v>
      </c>
      <c r="O51" s="35"/>
      <c r="P51" s="35"/>
      <c r="Q51" s="35"/>
      <c r="R51" s="35"/>
      <c r="S51" s="35"/>
    </row>
    <row r="52" spans="1:19" ht="24" customHeight="1">
      <c r="A52" s="141"/>
      <c r="B52" s="148"/>
      <c r="C52" s="134"/>
      <c r="D52" s="148"/>
      <c r="E52" s="156"/>
      <c r="F52" s="156"/>
      <c r="G52" s="166"/>
      <c r="H52" s="166"/>
      <c r="I52" s="148"/>
      <c r="J52" s="148"/>
      <c r="K52" s="148"/>
      <c r="L52" s="148"/>
      <c r="M52" s="141"/>
      <c r="N52" s="32" t="s">
        <v>21</v>
      </c>
      <c r="O52" s="35"/>
      <c r="P52" s="35"/>
      <c r="Q52" s="35"/>
      <c r="R52" s="35">
        <v>590</v>
      </c>
      <c r="S52" s="35"/>
    </row>
    <row r="53" spans="1:19" ht="24" customHeight="1">
      <c r="A53" s="163">
        <v>16</v>
      </c>
      <c r="B53" s="146" t="s">
        <v>200</v>
      </c>
      <c r="C53" s="143"/>
      <c r="D53" s="146">
        <v>1979</v>
      </c>
      <c r="E53" s="154">
        <v>20</v>
      </c>
      <c r="F53" s="154"/>
      <c r="G53" s="164"/>
      <c r="H53" s="164"/>
      <c r="I53" s="146" t="s">
        <v>162</v>
      </c>
      <c r="J53" s="146" t="s">
        <v>299</v>
      </c>
      <c r="K53" s="146" t="s">
        <v>201</v>
      </c>
      <c r="L53" s="146" t="s">
        <v>202</v>
      </c>
      <c r="M53" s="163">
        <f>SUM(O53:S55)</f>
        <v>724</v>
      </c>
      <c r="N53" s="32" t="s">
        <v>19</v>
      </c>
      <c r="O53" s="35"/>
      <c r="P53" s="35"/>
      <c r="Q53" s="35"/>
      <c r="R53" s="35"/>
      <c r="S53" s="35"/>
    </row>
    <row r="54" spans="1:19" ht="24" customHeight="1">
      <c r="A54" s="140"/>
      <c r="B54" s="147"/>
      <c r="C54" s="133"/>
      <c r="D54" s="147"/>
      <c r="E54" s="155"/>
      <c r="F54" s="155"/>
      <c r="G54" s="165"/>
      <c r="H54" s="165"/>
      <c r="I54" s="147"/>
      <c r="J54" s="147"/>
      <c r="K54" s="147"/>
      <c r="L54" s="147"/>
      <c r="M54" s="140"/>
      <c r="N54" s="32" t="s">
        <v>69</v>
      </c>
      <c r="O54" s="35"/>
      <c r="P54" s="35"/>
      <c r="Q54" s="35"/>
      <c r="R54" s="35"/>
      <c r="S54" s="35"/>
    </row>
    <row r="55" spans="1:19" ht="24" customHeight="1">
      <c r="A55" s="141"/>
      <c r="B55" s="148"/>
      <c r="C55" s="134"/>
      <c r="D55" s="148"/>
      <c r="E55" s="156"/>
      <c r="F55" s="156"/>
      <c r="G55" s="166"/>
      <c r="H55" s="166"/>
      <c r="I55" s="148"/>
      <c r="J55" s="148"/>
      <c r="K55" s="148"/>
      <c r="L55" s="148"/>
      <c r="M55" s="141"/>
      <c r="N55" s="32" t="s">
        <v>21</v>
      </c>
      <c r="O55" s="35"/>
      <c r="P55" s="35"/>
      <c r="Q55" s="35"/>
      <c r="R55" s="35"/>
      <c r="S55" s="35">
        <v>724</v>
      </c>
    </row>
    <row r="56" spans="1:19" ht="24" customHeight="1">
      <c r="A56" s="163">
        <v>17</v>
      </c>
      <c r="B56" s="146" t="s">
        <v>203</v>
      </c>
      <c r="C56" s="143"/>
      <c r="D56" s="146">
        <v>1957</v>
      </c>
      <c r="E56" s="154">
        <v>30</v>
      </c>
      <c r="F56" s="154"/>
      <c r="G56" s="164"/>
      <c r="H56" s="164"/>
      <c r="I56" s="146" t="s">
        <v>162</v>
      </c>
      <c r="J56" s="146" t="s">
        <v>299</v>
      </c>
      <c r="K56" s="146" t="s">
        <v>204</v>
      </c>
      <c r="L56" s="146" t="s">
        <v>205</v>
      </c>
      <c r="M56" s="163">
        <f>SUM(O56:S58)</f>
        <v>5070</v>
      </c>
      <c r="N56" s="32" t="s">
        <v>19</v>
      </c>
      <c r="O56" s="35"/>
      <c r="P56" s="35"/>
      <c r="Q56" s="35"/>
      <c r="R56" s="35"/>
      <c r="S56" s="35">
        <f>1583-300</f>
        <v>1283</v>
      </c>
    </row>
    <row r="57" spans="1:19" ht="24" customHeight="1">
      <c r="A57" s="140"/>
      <c r="B57" s="147"/>
      <c r="C57" s="133"/>
      <c r="D57" s="147"/>
      <c r="E57" s="155"/>
      <c r="F57" s="155"/>
      <c r="G57" s="165"/>
      <c r="H57" s="165"/>
      <c r="I57" s="147"/>
      <c r="J57" s="147"/>
      <c r="K57" s="147"/>
      <c r="L57" s="147"/>
      <c r="M57" s="140"/>
      <c r="N57" s="32" t="s">
        <v>69</v>
      </c>
      <c r="O57" s="35"/>
      <c r="P57" s="35"/>
      <c r="Q57" s="35"/>
      <c r="R57" s="35"/>
      <c r="S57" s="35"/>
    </row>
    <row r="58" spans="1:19" ht="24" customHeight="1">
      <c r="A58" s="141"/>
      <c r="B58" s="148"/>
      <c r="C58" s="134"/>
      <c r="D58" s="148"/>
      <c r="E58" s="156"/>
      <c r="F58" s="156"/>
      <c r="G58" s="166"/>
      <c r="H58" s="166"/>
      <c r="I58" s="148"/>
      <c r="J58" s="148"/>
      <c r="K58" s="148"/>
      <c r="L58" s="148"/>
      <c r="M58" s="141"/>
      <c r="N58" s="32" t="s">
        <v>21</v>
      </c>
      <c r="O58" s="35"/>
      <c r="P58" s="35"/>
      <c r="Q58" s="35"/>
      <c r="R58" s="35"/>
      <c r="S58" s="35">
        <f>5067-1580+300</f>
        <v>3787</v>
      </c>
    </row>
    <row r="59" spans="1:19" ht="24" customHeight="1">
      <c r="A59" s="163">
        <v>18</v>
      </c>
      <c r="B59" s="146" t="s">
        <v>206</v>
      </c>
      <c r="C59" s="143"/>
      <c r="D59" s="146">
        <v>1976</v>
      </c>
      <c r="E59" s="154">
        <v>20</v>
      </c>
      <c r="F59" s="154"/>
      <c r="G59" s="164"/>
      <c r="H59" s="164"/>
      <c r="I59" s="146" t="s">
        <v>162</v>
      </c>
      <c r="J59" s="146" t="s">
        <v>299</v>
      </c>
      <c r="K59" s="146" t="s">
        <v>207</v>
      </c>
      <c r="L59" s="146" t="s">
        <v>208</v>
      </c>
      <c r="M59" s="163">
        <f>SUM(O59:S61)</f>
        <v>434</v>
      </c>
      <c r="N59" s="32" t="s">
        <v>19</v>
      </c>
      <c r="O59" s="35"/>
      <c r="P59" s="35"/>
      <c r="Q59" s="35"/>
      <c r="R59" s="35"/>
      <c r="S59" s="35"/>
    </row>
    <row r="60" spans="1:19" ht="24" customHeight="1">
      <c r="A60" s="140"/>
      <c r="B60" s="147"/>
      <c r="C60" s="133"/>
      <c r="D60" s="147"/>
      <c r="E60" s="155"/>
      <c r="F60" s="155"/>
      <c r="G60" s="165"/>
      <c r="H60" s="165"/>
      <c r="I60" s="147"/>
      <c r="J60" s="147"/>
      <c r="K60" s="147"/>
      <c r="L60" s="147"/>
      <c r="M60" s="140"/>
      <c r="N60" s="32" t="s">
        <v>69</v>
      </c>
      <c r="O60" s="35"/>
      <c r="P60" s="35"/>
      <c r="Q60" s="35"/>
      <c r="R60" s="35"/>
      <c r="S60" s="35"/>
    </row>
    <row r="61" spans="1:19" ht="24" customHeight="1">
      <c r="A61" s="141"/>
      <c r="B61" s="148"/>
      <c r="C61" s="134"/>
      <c r="D61" s="148"/>
      <c r="E61" s="156"/>
      <c r="F61" s="156"/>
      <c r="G61" s="166"/>
      <c r="H61" s="166"/>
      <c r="I61" s="148"/>
      <c r="J61" s="148"/>
      <c r="K61" s="148"/>
      <c r="L61" s="148"/>
      <c r="M61" s="141"/>
      <c r="N61" s="32" t="s">
        <v>21</v>
      </c>
      <c r="O61" s="35"/>
      <c r="P61" s="35"/>
      <c r="Q61" s="35"/>
      <c r="R61" s="35"/>
      <c r="S61" s="35">
        <v>434</v>
      </c>
    </row>
    <row r="62" spans="1:19" ht="24" customHeight="1">
      <c r="A62" s="163">
        <v>19</v>
      </c>
      <c r="B62" s="146" t="s">
        <v>209</v>
      </c>
      <c r="C62" s="143"/>
      <c r="D62" s="146"/>
      <c r="E62" s="154"/>
      <c r="F62" s="154"/>
      <c r="G62" s="164"/>
      <c r="H62" s="164"/>
      <c r="I62" s="146"/>
      <c r="J62" s="146" t="s">
        <v>298</v>
      </c>
      <c r="K62" s="146"/>
      <c r="L62" s="146" t="s">
        <v>210</v>
      </c>
      <c r="M62" s="163">
        <f>SUM(O62:S64)</f>
        <v>1050</v>
      </c>
      <c r="N62" s="32" t="s">
        <v>19</v>
      </c>
      <c r="O62" s="35"/>
      <c r="P62" s="35"/>
      <c r="Q62" s="35"/>
      <c r="R62" s="35"/>
      <c r="S62" s="35"/>
    </row>
    <row r="63" spans="1:19" ht="24" customHeight="1">
      <c r="A63" s="140"/>
      <c r="B63" s="147"/>
      <c r="C63" s="133"/>
      <c r="D63" s="147"/>
      <c r="E63" s="155"/>
      <c r="F63" s="155"/>
      <c r="G63" s="165"/>
      <c r="H63" s="165"/>
      <c r="I63" s="147"/>
      <c r="J63" s="147"/>
      <c r="K63" s="147"/>
      <c r="L63" s="147"/>
      <c r="M63" s="140"/>
      <c r="N63" s="32" t="s">
        <v>69</v>
      </c>
      <c r="O63" s="35"/>
      <c r="P63" s="35"/>
      <c r="Q63" s="35"/>
      <c r="R63" s="35"/>
      <c r="S63" s="35"/>
    </row>
    <row r="64" spans="1:19" ht="24" customHeight="1">
      <c r="A64" s="141"/>
      <c r="B64" s="148"/>
      <c r="C64" s="134"/>
      <c r="D64" s="148"/>
      <c r="E64" s="156"/>
      <c r="F64" s="156"/>
      <c r="G64" s="166"/>
      <c r="H64" s="166"/>
      <c r="I64" s="148"/>
      <c r="J64" s="148"/>
      <c r="K64" s="148"/>
      <c r="L64" s="148"/>
      <c r="M64" s="141"/>
      <c r="N64" s="32" t="s">
        <v>21</v>
      </c>
      <c r="O64" s="35"/>
      <c r="P64" s="35"/>
      <c r="Q64" s="35"/>
      <c r="R64" s="35"/>
      <c r="S64" s="35">
        <v>1050</v>
      </c>
    </row>
    <row r="65" spans="1:19" ht="24" customHeight="1">
      <c r="A65" s="140">
        <v>20</v>
      </c>
      <c r="B65" s="142" t="s">
        <v>211</v>
      </c>
      <c r="C65" s="143"/>
      <c r="D65" s="142">
        <v>1958</v>
      </c>
      <c r="E65" s="144">
        <v>30</v>
      </c>
      <c r="F65" s="144"/>
      <c r="G65" s="145"/>
      <c r="H65" s="145"/>
      <c r="I65" s="146" t="s">
        <v>162</v>
      </c>
      <c r="J65" s="146" t="s">
        <v>298</v>
      </c>
      <c r="K65" s="146" t="s">
        <v>212</v>
      </c>
      <c r="L65" s="146" t="s">
        <v>213</v>
      </c>
      <c r="M65" s="139">
        <f>SUM(O65:S67)</f>
        <v>2266</v>
      </c>
      <c r="N65" s="32" t="s">
        <v>19</v>
      </c>
      <c r="O65" s="35"/>
      <c r="P65" s="35"/>
      <c r="Q65" s="35"/>
      <c r="R65" s="35"/>
      <c r="S65" s="35">
        <v>156</v>
      </c>
    </row>
    <row r="66" spans="1:19" ht="24" customHeight="1">
      <c r="A66" s="140"/>
      <c r="B66" s="142"/>
      <c r="C66" s="133"/>
      <c r="D66" s="142"/>
      <c r="E66" s="144"/>
      <c r="F66" s="144"/>
      <c r="G66" s="145"/>
      <c r="H66" s="145"/>
      <c r="I66" s="147"/>
      <c r="J66" s="147"/>
      <c r="K66" s="147"/>
      <c r="L66" s="147"/>
      <c r="M66" s="139"/>
      <c r="N66" s="32" t="s">
        <v>69</v>
      </c>
      <c r="O66" s="35"/>
      <c r="P66" s="35"/>
      <c r="Q66" s="35"/>
      <c r="R66" s="35"/>
      <c r="S66" s="35">
        <v>844</v>
      </c>
    </row>
    <row r="67" spans="1:19" ht="24" customHeight="1">
      <c r="A67" s="141"/>
      <c r="B67" s="142"/>
      <c r="C67" s="134"/>
      <c r="D67" s="142"/>
      <c r="E67" s="144"/>
      <c r="F67" s="144"/>
      <c r="G67" s="145"/>
      <c r="H67" s="145"/>
      <c r="I67" s="148"/>
      <c r="J67" s="148"/>
      <c r="K67" s="148"/>
      <c r="L67" s="148"/>
      <c r="M67" s="139"/>
      <c r="N67" s="32" t="s">
        <v>21</v>
      </c>
      <c r="O67" s="35"/>
      <c r="P67" s="35"/>
      <c r="Q67" s="35"/>
      <c r="R67" s="35"/>
      <c r="S67" s="35">
        <v>1266</v>
      </c>
    </row>
    <row r="68" spans="1:19" ht="30" customHeight="1">
      <c r="A68" s="140">
        <v>21</v>
      </c>
      <c r="B68" s="142" t="s">
        <v>226</v>
      </c>
      <c r="C68" s="143"/>
      <c r="D68" s="142"/>
      <c r="E68" s="144"/>
      <c r="F68" s="144"/>
      <c r="G68" s="145"/>
      <c r="H68" s="145"/>
      <c r="I68" s="146"/>
      <c r="J68" s="146" t="s">
        <v>298</v>
      </c>
      <c r="K68" s="146" t="s">
        <v>212</v>
      </c>
      <c r="L68" s="146" t="s">
        <v>227</v>
      </c>
      <c r="M68" s="139">
        <f>SUM(O68:S70)</f>
        <v>50000</v>
      </c>
      <c r="N68" s="32" t="s">
        <v>19</v>
      </c>
      <c r="O68" s="35"/>
      <c r="P68" s="35">
        <f>11500-1000-1000</f>
        <v>9500</v>
      </c>
      <c r="Q68" s="35">
        <f>10500+1000-3000-1000+1000-500-500</f>
        <v>7500</v>
      </c>
      <c r="R68" s="35">
        <f>875+1500+1000-500</f>
        <v>2875</v>
      </c>
      <c r="S68" s="35"/>
    </row>
    <row r="69" spans="1:19" ht="30" customHeight="1">
      <c r="A69" s="140"/>
      <c r="B69" s="142"/>
      <c r="C69" s="133"/>
      <c r="D69" s="142"/>
      <c r="E69" s="144"/>
      <c r="F69" s="144"/>
      <c r="G69" s="145"/>
      <c r="H69" s="145"/>
      <c r="I69" s="147"/>
      <c r="J69" s="147"/>
      <c r="K69" s="147"/>
      <c r="L69" s="147"/>
      <c r="M69" s="139"/>
      <c r="N69" s="32" t="s">
        <v>69</v>
      </c>
      <c r="O69" s="35"/>
      <c r="P69" s="35">
        <f>11500+339-1276+1000</f>
        <v>11563</v>
      </c>
      <c r="Q69" s="35">
        <f>10500-339-875+3000-1000+500-1099+500</f>
        <v>11187</v>
      </c>
      <c r="R69" s="35">
        <f>6000-1500-1000-2100+500</f>
        <v>1900</v>
      </c>
      <c r="S69" s="35"/>
    </row>
    <row r="70" spans="1:19" ht="30" customHeight="1">
      <c r="A70" s="141"/>
      <c r="B70" s="142"/>
      <c r="C70" s="134"/>
      <c r="D70" s="142"/>
      <c r="E70" s="144"/>
      <c r="F70" s="144"/>
      <c r="G70" s="145"/>
      <c r="H70" s="145"/>
      <c r="I70" s="148"/>
      <c r="J70" s="148"/>
      <c r="K70" s="148"/>
      <c r="L70" s="148"/>
      <c r="M70" s="139"/>
      <c r="N70" s="32" t="s">
        <v>21</v>
      </c>
      <c r="O70" s="35"/>
      <c r="P70" s="35">
        <f>1000+1276</f>
        <v>2276</v>
      </c>
      <c r="Q70" s="35">
        <v>1099</v>
      </c>
      <c r="R70" s="35">
        <v>2100</v>
      </c>
      <c r="S70" s="35"/>
    </row>
    <row r="71" spans="1:19" ht="24" customHeight="1">
      <c r="A71" s="140">
        <v>22</v>
      </c>
      <c r="B71" s="142" t="s">
        <v>214</v>
      </c>
      <c r="C71" s="143"/>
      <c r="D71" s="142"/>
      <c r="E71" s="144"/>
      <c r="F71" s="144"/>
      <c r="G71" s="145"/>
      <c r="H71" s="145"/>
      <c r="I71" s="146"/>
      <c r="J71" s="145">
        <v>2005</v>
      </c>
      <c r="K71" s="146"/>
      <c r="L71" s="146"/>
      <c r="M71" s="139">
        <f>SUM(O71:S73)</f>
        <v>200</v>
      </c>
      <c r="N71" s="32" t="s">
        <v>19</v>
      </c>
      <c r="O71" s="35"/>
      <c r="P71" s="35"/>
      <c r="Q71" s="35"/>
      <c r="R71" s="35"/>
      <c r="S71" s="35"/>
    </row>
    <row r="72" spans="1:19" ht="24" customHeight="1">
      <c r="A72" s="140"/>
      <c r="B72" s="142"/>
      <c r="C72" s="133"/>
      <c r="D72" s="142"/>
      <c r="E72" s="144"/>
      <c r="F72" s="144"/>
      <c r="G72" s="145"/>
      <c r="H72" s="145"/>
      <c r="I72" s="147"/>
      <c r="J72" s="145"/>
      <c r="K72" s="147"/>
      <c r="L72" s="147"/>
      <c r="M72" s="139"/>
      <c r="N72" s="32" t="s">
        <v>69</v>
      </c>
      <c r="O72" s="35"/>
      <c r="P72" s="35"/>
      <c r="Q72" s="35"/>
      <c r="R72" s="35"/>
      <c r="S72" s="35"/>
    </row>
    <row r="73" spans="1:19" ht="24" customHeight="1">
      <c r="A73" s="141"/>
      <c r="B73" s="142"/>
      <c r="C73" s="134"/>
      <c r="D73" s="142"/>
      <c r="E73" s="144"/>
      <c r="F73" s="144"/>
      <c r="G73" s="145"/>
      <c r="H73" s="145"/>
      <c r="I73" s="148"/>
      <c r="J73" s="145"/>
      <c r="K73" s="148"/>
      <c r="L73" s="148"/>
      <c r="M73" s="139"/>
      <c r="N73" s="32" t="s">
        <v>21</v>
      </c>
      <c r="O73" s="35">
        <v>200</v>
      </c>
      <c r="P73" s="35"/>
      <c r="Q73" s="35"/>
      <c r="R73" s="35"/>
      <c r="S73" s="35"/>
    </row>
    <row r="74" spans="1:19" ht="24" customHeight="1">
      <c r="A74" s="140">
        <v>23</v>
      </c>
      <c r="B74" s="142" t="s">
        <v>215</v>
      </c>
      <c r="C74" s="143"/>
      <c r="D74" s="142"/>
      <c r="E74" s="144"/>
      <c r="F74" s="144"/>
      <c r="G74" s="145"/>
      <c r="H74" s="145"/>
      <c r="I74" s="146" t="s">
        <v>129</v>
      </c>
      <c r="J74" s="145">
        <v>2001</v>
      </c>
      <c r="K74" s="146"/>
      <c r="L74" s="146"/>
      <c r="M74" s="139">
        <f>SUM(O74:S76)</f>
        <v>2100</v>
      </c>
      <c r="N74" s="32" t="s">
        <v>19</v>
      </c>
      <c r="O74" s="35"/>
      <c r="P74" s="35"/>
      <c r="Q74" s="35"/>
      <c r="R74" s="35"/>
      <c r="S74" s="35"/>
    </row>
    <row r="75" spans="1:19" ht="24" customHeight="1">
      <c r="A75" s="140"/>
      <c r="B75" s="142"/>
      <c r="C75" s="133"/>
      <c r="D75" s="142"/>
      <c r="E75" s="144"/>
      <c r="F75" s="144"/>
      <c r="G75" s="145"/>
      <c r="H75" s="145"/>
      <c r="I75" s="147"/>
      <c r="J75" s="145"/>
      <c r="K75" s="147"/>
      <c r="L75" s="147"/>
      <c r="M75" s="139"/>
      <c r="N75" s="32" t="s">
        <v>69</v>
      </c>
      <c r="O75" s="35"/>
      <c r="P75" s="35"/>
      <c r="Q75" s="35"/>
      <c r="R75" s="35"/>
      <c r="S75" s="35"/>
    </row>
    <row r="76" spans="1:19" ht="24" customHeight="1">
      <c r="A76" s="141"/>
      <c r="B76" s="142"/>
      <c r="C76" s="134"/>
      <c r="D76" s="142"/>
      <c r="E76" s="144"/>
      <c r="F76" s="144"/>
      <c r="G76" s="145"/>
      <c r="H76" s="145"/>
      <c r="I76" s="148"/>
      <c r="J76" s="145"/>
      <c r="K76" s="148"/>
      <c r="L76" s="148"/>
      <c r="M76" s="139"/>
      <c r="N76" s="32" t="s">
        <v>21</v>
      </c>
      <c r="O76" s="35"/>
      <c r="P76" s="35">
        <v>2100</v>
      </c>
      <c r="Q76" s="35"/>
      <c r="R76" s="35"/>
      <c r="S76" s="35"/>
    </row>
    <row r="77" spans="1:19" ht="24" customHeight="1">
      <c r="A77" s="140">
        <v>24</v>
      </c>
      <c r="B77" s="142" t="s">
        <v>216</v>
      </c>
      <c r="C77" s="143"/>
      <c r="D77" s="142"/>
      <c r="E77" s="144"/>
      <c r="F77" s="144"/>
      <c r="G77" s="145"/>
      <c r="H77" s="145"/>
      <c r="I77" s="146" t="s">
        <v>217</v>
      </c>
      <c r="J77" s="145">
        <v>2001</v>
      </c>
      <c r="K77" s="146"/>
      <c r="L77" s="146"/>
      <c r="M77" s="139">
        <f>SUM(O77:S79)</f>
        <v>4400</v>
      </c>
      <c r="N77" s="32" t="s">
        <v>19</v>
      </c>
      <c r="O77" s="35"/>
      <c r="P77" s="35"/>
      <c r="Q77" s="35"/>
      <c r="R77" s="35"/>
      <c r="S77" s="35"/>
    </row>
    <row r="78" spans="1:19" ht="24" customHeight="1">
      <c r="A78" s="140"/>
      <c r="B78" s="142"/>
      <c r="C78" s="133"/>
      <c r="D78" s="142"/>
      <c r="E78" s="144"/>
      <c r="F78" s="144"/>
      <c r="G78" s="145"/>
      <c r="H78" s="145"/>
      <c r="I78" s="147"/>
      <c r="J78" s="145"/>
      <c r="K78" s="147"/>
      <c r="L78" s="147"/>
      <c r="M78" s="139"/>
      <c r="N78" s="32" t="s">
        <v>69</v>
      </c>
      <c r="O78" s="35"/>
      <c r="P78" s="35"/>
      <c r="Q78" s="35"/>
      <c r="R78" s="35"/>
      <c r="S78" s="35"/>
    </row>
    <row r="79" spans="1:19" ht="24" customHeight="1">
      <c r="A79" s="141"/>
      <c r="B79" s="142"/>
      <c r="C79" s="134"/>
      <c r="D79" s="142"/>
      <c r="E79" s="144"/>
      <c r="F79" s="144"/>
      <c r="G79" s="145"/>
      <c r="H79" s="145"/>
      <c r="I79" s="148"/>
      <c r="J79" s="145"/>
      <c r="K79" s="148"/>
      <c r="L79" s="148"/>
      <c r="M79" s="139"/>
      <c r="N79" s="32" t="s">
        <v>21</v>
      </c>
      <c r="O79" s="35">
        <v>1200</v>
      </c>
      <c r="P79" s="35">
        <v>1200</v>
      </c>
      <c r="Q79" s="35">
        <v>2000</v>
      </c>
      <c r="R79" s="35"/>
      <c r="S79" s="35"/>
    </row>
    <row r="80" spans="1:19" ht="24" customHeight="1">
      <c r="A80" s="140">
        <v>25</v>
      </c>
      <c r="B80" s="142" t="s">
        <v>218</v>
      </c>
      <c r="C80" s="143"/>
      <c r="D80" s="142">
        <v>1984</v>
      </c>
      <c r="E80" s="144"/>
      <c r="F80" s="144"/>
      <c r="G80" s="145"/>
      <c r="H80" s="145"/>
      <c r="I80" s="146" t="s">
        <v>219</v>
      </c>
      <c r="J80" s="145">
        <v>2001</v>
      </c>
      <c r="K80" s="146"/>
      <c r="L80" s="146"/>
      <c r="M80" s="139">
        <f>SUM(O80:S82)</f>
        <v>2600</v>
      </c>
      <c r="N80" s="32" t="s">
        <v>19</v>
      </c>
      <c r="O80" s="35"/>
      <c r="P80" s="35"/>
      <c r="Q80" s="35">
        <v>750</v>
      </c>
      <c r="R80" s="35"/>
      <c r="S80" s="35"/>
    </row>
    <row r="81" spans="1:19" ht="24" customHeight="1">
      <c r="A81" s="140"/>
      <c r="B81" s="142"/>
      <c r="C81" s="133"/>
      <c r="D81" s="142"/>
      <c r="E81" s="144"/>
      <c r="F81" s="144"/>
      <c r="G81" s="145"/>
      <c r="H81" s="145"/>
      <c r="I81" s="147"/>
      <c r="J81" s="145"/>
      <c r="K81" s="147"/>
      <c r="L81" s="147"/>
      <c r="M81" s="139"/>
      <c r="N81" s="32" t="s">
        <v>69</v>
      </c>
      <c r="O81" s="35"/>
      <c r="P81" s="35"/>
      <c r="Q81" s="35">
        <v>750</v>
      </c>
      <c r="R81" s="35"/>
      <c r="S81" s="35"/>
    </row>
    <row r="82" spans="1:19" ht="24" customHeight="1">
      <c r="A82" s="141"/>
      <c r="B82" s="142"/>
      <c r="C82" s="134"/>
      <c r="D82" s="142"/>
      <c r="E82" s="144"/>
      <c r="F82" s="144"/>
      <c r="G82" s="145"/>
      <c r="H82" s="145"/>
      <c r="I82" s="148"/>
      <c r="J82" s="145"/>
      <c r="K82" s="148"/>
      <c r="L82" s="148"/>
      <c r="M82" s="139"/>
      <c r="N82" s="32" t="s">
        <v>21</v>
      </c>
      <c r="O82" s="35"/>
      <c r="P82" s="35"/>
      <c r="Q82" s="35">
        <v>1100</v>
      </c>
      <c r="R82" s="35"/>
      <c r="S82" s="35"/>
    </row>
    <row r="83" spans="1:19" ht="24" customHeight="1">
      <c r="A83" s="140">
        <v>26</v>
      </c>
      <c r="B83" s="142" t="s">
        <v>220</v>
      </c>
      <c r="C83" s="143"/>
      <c r="D83" s="142"/>
      <c r="E83" s="144"/>
      <c r="F83" s="144"/>
      <c r="G83" s="145"/>
      <c r="H83" s="145"/>
      <c r="I83" s="146" t="s">
        <v>221</v>
      </c>
      <c r="J83" s="146" t="s">
        <v>298</v>
      </c>
      <c r="K83" s="146" t="s">
        <v>222</v>
      </c>
      <c r="L83" s="146" t="s">
        <v>223</v>
      </c>
      <c r="M83" s="139">
        <f>SUM(O83:S85)</f>
        <v>50</v>
      </c>
      <c r="N83" s="32" t="s">
        <v>19</v>
      </c>
      <c r="O83" s="35"/>
      <c r="P83" s="35"/>
      <c r="Q83" s="35"/>
      <c r="R83" s="35"/>
      <c r="S83" s="35"/>
    </row>
    <row r="84" spans="1:19" ht="24" customHeight="1">
      <c r="A84" s="140"/>
      <c r="B84" s="142"/>
      <c r="C84" s="133"/>
      <c r="D84" s="142"/>
      <c r="E84" s="144"/>
      <c r="F84" s="144"/>
      <c r="G84" s="145"/>
      <c r="H84" s="145"/>
      <c r="I84" s="147"/>
      <c r="J84" s="147"/>
      <c r="K84" s="147"/>
      <c r="L84" s="147"/>
      <c r="M84" s="139"/>
      <c r="N84" s="32" t="s">
        <v>69</v>
      </c>
      <c r="O84" s="35"/>
      <c r="P84" s="35"/>
      <c r="Q84" s="35"/>
      <c r="R84" s="35"/>
      <c r="S84" s="35"/>
    </row>
    <row r="85" spans="1:19" ht="24" customHeight="1">
      <c r="A85" s="141"/>
      <c r="B85" s="142"/>
      <c r="C85" s="134"/>
      <c r="D85" s="142"/>
      <c r="E85" s="144"/>
      <c r="F85" s="144"/>
      <c r="G85" s="145"/>
      <c r="H85" s="145"/>
      <c r="I85" s="148"/>
      <c r="J85" s="148"/>
      <c r="K85" s="148"/>
      <c r="L85" s="148"/>
      <c r="M85" s="139"/>
      <c r="N85" s="32" t="s">
        <v>21</v>
      </c>
      <c r="O85" s="35"/>
      <c r="P85" s="35">
        <v>50</v>
      </c>
      <c r="Q85" s="35"/>
      <c r="R85" s="35"/>
      <c r="S85" s="35"/>
    </row>
    <row r="86" spans="1:21" ht="24" customHeight="1">
      <c r="A86" s="140"/>
      <c r="B86" s="151" t="s">
        <v>224</v>
      </c>
      <c r="C86" s="139"/>
      <c r="D86" s="152"/>
      <c r="E86" s="153"/>
      <c r="F86" s="153"/>
      <c r="G86" s="139"/>
      <c r="H86" s="139"/>
      <c r="I86" s="163"/>
      <c r="J86" s="139"/>
      <c r="K86" s="139"/>
      <c r="L86" s="139"/>
      <c r="M86" s="138">
        <f>SUM(M8:M85)</f>
        <v>83400</v>
      </c>
      <c r="N86" s="40" t="s">
        <v>19</v>
      </c>
      <c r="O86" s="41">
        <f aca="true" t="shared" si="0" ref="O86:S88">SUM(O8,O11,O14,O17,O20,O26,O29,O32,O35,O38,O41,O44,O47,O50,O53,O56,O59,O62,O68,O71,O74,O77,O80,O83,O23,O65)</f>
        <v>0</v>
      </c>
      <c r="P86" s="41">
        <f t="shared" si="0"/>
        <v>9500</v>
      </c>
      <c r="Q86" s="41">
        <f t="shared" si="0"/>
        <v>8250</v>
      </c>
      <c r="R86" s="41">
        <f t="shared" si="0"/>
        <v>2875</v>
      </c>
      <c r="S86" s="41">
        <f t="shared" si="0"/>
        <v>1439</v>
      </c>
      <c r="U86" s="42"/>
    </row>
    <row r="87" spans="1:21" ht="24" customHeight="1">
      <c r="A87" s="140"/>
      <c r="B87" s="151"/>
      <c r="C87" s="139"/>
      <c r="D87" s="152"/>
      <c r="E87" s="153"/>
      <c r="F87" s="153"/>
      <c r="G87" s="139"/>
      <c r="H87" s="139"/>
      <c r="I87" s="140"/>
      <c r="J87" s="139"/>
      <c r="K87" s="139"/>
      <c r="L87" s="139"/>
      <c r="M87" s="138"/>
      <c r="N87" s="40" t="s">
        <v>69</v>
      </c>
      <c r="O87" s="41">
        <f t="shared" si="0"/>
        <v>0</v>
      </c>
      <c r="P87" s="41">
        <f t="shared" si="0"/>
        <v>11563</v>
      </c>
      <c r="Q87" s="41">
        <f t="shared" si="0"/>
        <v>11937</v>
      </c>
      <c r="R87" s="41">
        <f t="shared" si="0"/>
        <v>1900</v>
      </c>
      <c r="S87" s="41">
        <f t="shared" si="0"/>
        <v>844</v>
      </c>
      <c r="U87" s="42"/>
    </row>
    <row r="88" spans="1:21" ht="24" customHeight="1">
      <c r="A88" s="141"/>
      <c r="B88" s="151"/>
      <c r="C88" s="139"/>
      <c r="D88" s="152"/>
      <c r="E88" s="153"/>
      <c r="F88" s="153"/>
      <c r="G88" s="139"/>
      <c r="H88" s="139"/>
      <c r="I88" s="141"/>
      <c r="J88" s="139"/>
      <c r="K88" s="139"/>
      <c r="L88" s="139"/>
      <c r="M88" s="138"/>
      <c r="N88" s="40" t="s">
        <v>21</v>
      </c>
      <c r="O88" s="41">
        <f t="shared" si="0"/>
        <v>7676</v>
      </c>
      <c r="P88" s="41">
        <f t="shared" si="0"/>
        <v>6461</v>
      </c>
      <c r="Q88" s="41">
        <f t="shared" si="0"/>
        <v>6713</v>
      </c>
      <c r="R88" s="41">
        <f t="shared" si="0"/>
        <v>6981</v>
      </c>
      <c r="S88" s="41">
        <f t="shared" si="0"/>
        <v>7261</v>
      </c>
      <c r="U88" s="42"/>
    </row>
    <row r="89" spans="1:21" ht="24" customHeight="1">
      <c r="A89" s="43"/>
      <c r="B89" s="103"/>
      <c r="C89" s="43"/>
      <c r="D89" s="44"/>
      <c r="E89" s="45"/>
      <c r="F89" s="45"/>
      <c r="G89" s="43"/>
      <c r="H89" s="43"/>
      <c r="I89" s="43"/>
      <c r="J89" s="43"/>
      <c r="K89" s="43"/>
      <c r="L89" s="43"/>
      <c r="M89" s="39"/>
      <c r="N89" s="40"/>
      <c r="O89" s="41">
        <f>SUM(O86:O88)</f>
        <v>7676</v>
      </c>
      <c r="P89" s="41">
        <f>SUM(P86:P88)</f>
        <v>27524</v>
      </c>
      <c r="Q89" s="41">
        <f>SUM(Q86:Q88)</f>
        <v>26900</v>
      </c>
      <c r="R89" s="41">
        <f>SUM(R86:R88)</f>
        <v>11756</v>
      </c>
      <c r="S89" s="41">
        <f>SUM(S86:S88)</f>
        <v>9544</v>
      </c>
      <c r="U89" s="42"/>
    </row>
    <row r="90" spans="1:20" ht="51">
      <c r="A90" s="43"/>
      <c r="B90" s="44"/>
      <c r="C90" s="43"/>
      <c r="D90" s="44"/>
      <c r="E90" s="45"/>
      <c r="F90" s="45"/>
      <c r="G90" s="43"/>
      <c r="H90" s="43"/>
      <c r="I90" s="43"/>
      <c r="J90" s="43"/>
      <c r="K90" s="43"/>
      <c r="M90" s="48" t="s">
        <v>297</v>
      </c>
      <c r="N90" s="131">
        <f>SUM(O90:S90)</f>
        <v>8617.099999999999</v>
      </c>
      <c r="O90" s="116"/>
      <c r="P90" s="116">
        <v>1761.1</v>
      </c>
      <c r="Q90" s="116">
        <v>2013.5</v>
      </c>
      <c r="R90" s="116">
        <v>2281.3</v>
      </c>
      <c r="S90" s="117">
        <v>2561.2</v>
      </c>
      <c r="T90" s="124"/>
    </row>
    <row r="91" spans="1:20" ht="15">
      <c r="A91" s="43"/>
      <c r="B91" s="51"/>
      <c r="C91" s="43"/>
      <c r="D91" s="44"/>
      <c r="E91" s="45"/>
      <c r="F91" s="45"/>
      <c r="G91" s="43"/>
      <c r="H91" s="43"/>
      <c r="I91" s="43"/>
      <c r="K91" s="43"/>
      <c r="L91" s="52"/>
      <c r="M91" s="43"/>
      <c r="N91" s="46"/>
      <c r="O91" s="53"/>
      <c r="P91" s="53"/>
      <c r="Q91" s="53"/>
      <c r="R91" s="53"/>
      <c r="S91" s="53"/>
      <c r="T91" s="55"/>
    </row>
    <row r="92" spans="15:19" ht="12.75">
      <c r="O92" s="27"/>
      <c r="P92" s="27"/>
      <c r="Q92" s="27"/>
      <c r="R92" s="27"/>
      <c r="S92" s="27"/>
    </row>
    <row r="93" spans="15:18" ht="12.75">
      <c r="O93" s="27"/>
      <c r="P93" s="27"/>
      <c r="Q93" s="27"/>
      <c r="R93" s="27"/>
    </row>
    <row r="94" spans="15:18" ht="12.75">
      <c r="O94" s="27"/>
      <c r="P94" s="27"/>
      <c r="Q94" s="27"/>
      <c r="R94" s="27"/>
    </row>
    <row r="95" spans="15:18" ht="12.75">
      <c r="O95" s="27"/>
      <c r="P95" s="27"/>
      <c r="Q95" s="27"/>
      <c r="R95" s="27"/>
    </row>
    <row r="96" spans="15:18" ht="12.75">
      <c r="O96" s="27"/>
      <c r="P96" s="27"/>
      <c r="Q96" s="27"/>
      <c r="R96" s="27"/>
    </row>
    <row r="97" spans="15:18" ht="12.75">
      <c r="O97" s="27"/>
      <c r="P97" s="27"/>
      <c r="Q97" s="27"/>
      <c r="R97" s="27"/>
    </row>
    <row r="98" spans="15:18" ht="12.75">
      <c r="O98" s="27"/>
      <c r="P98" s="27"/>
      <c r="Q98" s="27"/>
      <c r="R98" s="27"/>
    </row>
    <row r="99" spans="15:18" ht="12.75">
      <c r="O99" s="27"/>
      <c r="P99" s="27"/>
      <c r="Q99" s="27"/>
      <c r="R99" s="27"/>
    </row>
    <row r="100" spans="15:18" ht="12.75">
      <c r="O100" s="27"/>
      <c r="P100" s="27"/>
      <c r="Q100" s="27"/>
      <c r="R100" s="27"/>
    </row>
    <row r="101" spans="15:18" ht="12.75">
      <c r="O101" s="27"/>
      <c r="P101" s="27"/>
      <c r="Q101" s="27"/>
      <c r="R101" s="27"/>
    </row>
    <row r="102" spans="15:18" ht="12.75">
      <c r="O102" s="27"/>
      <c r="P102" s="27"/>
      <c r="Q102" s="27"/>
      <c r="R102" s="27"/>
    </row>
    <row r="103" spans="15:18" ht="12.75">
      <c r="O103" s="27"/>
      <c r="P103" s="27"/>
      <c r="Q103" s="27"/>
      <c r="R103" s="27"/>
    </row>
    <row r="104" spans="15:18" ht="12.75">
      <c r="O104" s="27"/>
      <c r="P104" s="27"/>
      <c r="Q104" s="27"/>
      <c r="R104" s="27"/>
    </row>
    <row r="105" spans="15:18" ht="12.75">
      <c r="O105" s="27"/>
      <c r="P105" s="27"/>
      <c r="Q105" s="27"/>
      <c r="R105" s="27"/>
    </row>
    <row r="106" spans="15:18" ht="12.75">
      <c r="O106" s="27"/>
      <c r="P106" s="27"/>
      <c r="Q106" s="27"/>
      <c r="R106" s="27"/>
    </row>
  </sheetData>
  <sheetProtection/>
  <mergeCells count="368">
    <mergeCell ref="Q3:S3"/>
    <mergeCell ref="B2:Q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S4"/>
    <mergeCell ref="J4:J5"/>
    <mergeCell ref="K4:K5"/>
    <mergeCell ref="L4:L5"/>
    <mergeCell ref="M4:M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L35:L37"/>
    <mergeCell ref="M35:M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A41:A43"/>
    <mergeCell ref="B41:B43"/>
    <mergeCell ref="C41:C43"/>
    <mergeCell ref="D41:D43"/>
    <mergeCell ref="E41:E43"/>
    <mergeCell ref="F41:F43"/>
    <mergeCell ref="G41:G43"/>
    <mergeCell ref="H41:H43"/>
    <mergeCell ref="I83:I85"/>
    <mergeCell ref="I41:I43"/>
    <mergeCell ref="J41:J43"/>
    <mergeCell ref="K41:K43"/>
    <mergeCell ref="J83:J85"/>
    <mergeCell ref="K83:K85"/>
    <mergeCell ref="K68:K70"/>
    <mergeCell ref="I62:I64"/>
    <mergeCell ref="J62:J64"/>
    <mergeCell ref="K62:K64"/>
    <mergeCell ref="E83:E85"/>
    <mergeCell ref="F83:F85"/>
    <mergeCell ref="G83:G85"/>
    <mergeCell ref="H83:H85"/>
    <mergeCell ref="A83:A85"/>
    <mergeCell ref="B83:B85"/>
    <mergeCell ref="C83:C85"/>
    <mergeCell ref="D83:D85"/>
    <mergeCell ref="L83:L85"/>
    <mergeCell ref="M83:M85"/>
    <mergeCell ref="B7:M7"/>
    <mergeCell ref="A71:A73"/>
    <mergeCell ref="B71:B73"/>
    <mergeCell ref="C71:C73"/>
    <mergeCell ref="D71:D73"/>
    <mergeCell ref="E71:E73"/>
    <mergeCell ref="F71:F73"/>
    <mergeCell ref="G71:G73"/>
    <mergeCell ref="M41:M43"/>
    <mergeCell ref="L41:L43"/>
    <mergeCell ref="H71:H73"/>
    <mergeCell ref="I71:I73"/>
    <mergeCell ref="J71:J73"/>
    <mergeCell ref="K71:K73"/>
    <mergeCell ref="L71:L73"/>
    <mergeCell ref="M71:M73"/>
    <mergeCell ref="I68:I70"/>
    <mergeCell ref="J68:J70"/>
    <mergeCell ref="A68:A70"/>
    <mergeCell ref="B68:B70"/>
    <mergeCell ref="C68:C70"/>
    <mergeCell ref="D68:D70"/>
    <mergeCell ref="E68:E70"/>
    <mergeCell ref="F68:F70"/>
    <mergeCell ref="G68:G70"/>
    <mergeCell ref="H68:H70"/>
    <mergeCell ref="L68:L70"/>
    <mergeCell ref="M68:M70"/>
    <mergeCell ref="A62:A64"/>
    <mergeCell ref="B62:B64"/>
    <mergeCell ref="C62:C64"/>
    <mergeCell ref="D62:D64"/>
    <mergeCell ref="E62:E64"/>
    <mergeCell ref="F62:F64"/>
    <mergeCell ref="G62:G64"/>
    <mergeCell ref="H62:H64"/>
    <mergeCell ref="L62:L64"/>
    <mergeCell ref="M62:M64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K59:K61"/>
    <mergeCell ref="L59:L61"/>
    <mergeCell ref="M59:M61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J56:J58"/>
    <mergeCell ref="K56:K58"/>
    <mergeCell ref="L56:L58"/>
    <mergeCell ref="M56:M58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A80:A82"/>
    <mergeCell ref="B80:B82"/>
    <mergeCell ref="C80:C82"/>
    <mergeCell ref="D80:D82"/>
    <mergeCell ref="E80:E82"/>
    <mergeCell ref="F80:F82"/>
    <mergeCell ref="G80:G82"/>
    <mergeCell ref="H80:H82"/>
    <mergeCell ref="I77:I79"/>
    <mergeCell ref="I80:I82"/>
    <mergeCell ref="J80:J82"/>
    <mergeCell ref="K80:K82"/>
    <mergeCell ref="K77:K79"/>
    <mergeCell ref="E77:E79"/>
    <mergeCell ref="F77:F79"/>
    <mergeCell ref="G77:G79"/>
    <mergeCell ref="H77:H79"/>
    <mergeCell ref="A77:A79"/>
    <mergeCell ref="B77:B79"/>
    <mergeCell ref="C77:C79"/>
    <mergeCell ref="D77:D79"/>
    <mergeCell ref="L77:L79"/>
    <mergeCell ref="M77:M79"/>
    <mergeCell ref="M80:M82"/>
    <mergeCell ref="L80:L82"/>
    <mergeCell ref="A74:A76"/>
    <mergeCell ref="B74:B76"/>
    <mergeCell ref="C74:C76"/>
    <mergeCell ref="D74:D76"/>
    <mergeCell ref="E74:E76"/>
    <mergeCell ref="F74:F76"/>
    <mergeCell ref="G74:G76"/>
    <mergeCell ref="H74:H76"/>
    <mergeCell ref="M86:M88"/>
    <mergeCell ref="M74:M76"/>
    <mergeCell ref="A86:A88"/>
    <mergeCell ref="B86:B88"/>
    <mergeCell ref="C86:C88"/>
    <mergeCell ref="D86:D88"/>
    <mergeCell ref="E86:E88"/>
    <mergeCell ref="F86:F88"/>
    <mergeCell ref="G86:G88"/>
    <mergeCell ref="H86:H88"/>
    <mergeCell ref="I23:I25"/>
    <mergeCell ref="J86:J88"/>
    <mergeCell ref="K86:K88"/>
    <mergeCell ref="L86:L88"/>
    <mergeCell ref="I86:I88"/>
    <mergeCell ref="I74:I76"/>
    <mergeCell ref="J74:J76"/>
    <mergeCell ref="K74:K76"/>
    <mergeCell ref="L74:L76"/>
    <mergeCell ref="J77:J79"/>
    <mergeCell ref="E23:E25"/>
    <mergeCell ref="F23:F25"/>
    <mergeCell ref="G23:G25"/>
    <mergeCell ref="H23:H25"/>
    <mergeCell ref="A23:A25"/>
    <mergeCell ref="B23:B25"/>
    <mergeCell ref="C23:C25"/>
    <mergeCell ref="D23:D25"/>
    <mergeCell ref="J23:J25"/>
    <mergeCell ref="K23:K25"/>
    <mergeCell ref="L23:L25"/>
    <mergeCell ref="M23:M25"/>
    <mergeCell ref="A65:A67"/>
    <mergeCell ref="B65:B67"/>
    <mergeCell ref="C65:C67"/>
    <mergeCell ref="D65:D67"/>
    <mergeCell ref="E65:E67"/>
    <mergeCell ref="F65:F67"/>
    <mergeCell ref="G65:G67"/>
    <mergeCell ref="H65:H67"/>
    <mergeCell ref="M65:M67"/>
    <mergeCell ref="I65:I67"/>
    <mergeCell ref="J65:J67"/>
    <mergeCell ref="K65:K67"/>
    <mergeCell ref="L65:L67"/>
  </mergeCells>
  <printOptions/>
  <pageMargins left="0.45" right="0.41" top="0.29" bottom="0.3" header="0.5" footer="0.5"/>
  <pageSetup fitToHeight="0" horizontalDpi="600" verticalDpi="600" orientation="landscape" scale="62" r:id="rId1"/>
  <rowBreaks count="2" manualBreakCount="2">
    <brk id="34" max="18" man="1"/>
    <brk id="6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147"/>
  <sheetViews>
    <sheetView workbookViewId="0" topLeftCell="A1">
      <pane xSplit="2" ySplit="7" topLeftCell="K1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31" sqref="M131"/>
    </sheetView>
  </sheetViews>
  <sheetFormatPr defaultColWidth="9.00390625" defaultRowHeight="12.75"/>
  <cols>
    <col min="1" max="1" width="2.875" style="23" customWidth="1"/>
    <col min="2" max="2" width="19.875" style="23" customWidth="1"/>
    <col min="3" max="3" width="9.625" style="23" customWidth="1"/>
    <col min="4" max="4" width="8.00390625" style="23" customWidth="1"/>
    <col min="5" max="5" width="6.875" style="23" customWidth="1"/>
    <col min="6" max="6" width="9.25390625" style="23" customWidth="1"/>
    <col min="7" max="7" width="8.625" style="23" customWidth="1"/>
    <col min="8" max="8" width="9.375" style="23" customWidth="1"/>
    <col min="9" max="9" width="15.125" style="23" customWidth="1"/>
    <col min="10" max="10" width="7.25390625" style="23" customWidth="1"/>
    <col min="11" max="12" width="11.375" style="23" customWidth="1"/>
    <col min="13" max="13" width="9.75390625" style="23" customWidth="1"/>
    <col min="14" max="14" width="11.875" style="23" customWidth="1"/>
    <col min="15" max="18" width="10.125" style="23" bestFit="1" customWidth="1"/>
    <col min="19" max="19" width="10.25390625" style="23" bestFit="1" customWidth="1"/>
    <col min="20" max="16384" width="9.125" style="23" customWidth="1"/>
  </cols>
  <sheetData>
    <row r="2" spans="2:19" ht="15.75">
      <c r="B2" s="160" t="s">
        <v>54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25"/>
      <c r="S2" s="25"/>
    </row>
    <row r="3" spans="2:19" ht="15.75">
      <c r="B3" s="24" t="s">
        <v>275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59" t="s">
        <v>302</v>
      </c>
      <c r="R3" s="159"/>
      <c r="S3" s="159"/>
    </row>
    <row r="4" spans="1:19" ht="41.25" customHeight="1">
      <c r="A4" s="161" t="s">
        <v>0</v>
      </c>
      <c r="B4" s="157" t="s">
        <v>55</v>
      </c>
      <c r="C4" s="157" t="s">
        <v>56</v>
      </c>
      <c r="D4" s="157" t="s">
        <v>57</v>
      </c>
      <c r="E4" s="157" t="s">
        <v>58</v>
      </c>
      <c r="F4" s="157" t="s">
        <v>59</v>
      </c>
      <c r="G4" s="157" t="s">
        <v>60</v>
      </c>
      <c r="H4" s="157" t="s">
        <v>13</v>
      </c>
      <c r="I4" s="157" t="s">
        <v>14</v>
      </c>
      <c r="J4" s="157" t="s">
        <v>15</v>
      </c>
      <c r="K4" s="157" t="s">
        <v>16</v>
      </c>
      <c r="L4" s="157" t="s">
        <v>61</v>
      </c>
      <c r="M4" s="157" t="s">
        <v>62</v>
      </c>
      <c r="N4" s="170" t="s">
        <v>63</v>
      </c>
      <c r="O4" s="171"/>
      <c r="P4" s="171"/>
      <c r="Q4" s="171"/>
      <c r="R4" s="171"/>
      <c r="S4" s="172"/>
    </row>
    <row r="5" spans="1:19" ht="52.5" customHeight="1">
      <c r="A5" s="162"/>
      <c r="B5" s="176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28" t="s">
        <v>22</v>
      </c>
      <c r="O5" s="29">
        <v>2006</v>
      </c>
      <c r="P5" s="29">
        <v>2007</v>
      </c>
      <c r="Q5" s="29">
        <v>2008</v>
      </c>
      <c r="R5" s="29">
        <v>2009</v>
      </c>
      <c r="S5" s="29">
        <v>2010</v>
      </c>
    </row>
    <row r="6" spans="1:19" ht="12.75">
      <c r="A6" s="30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9">
        <v>15</v>
      </c>
      <c r="P6" s="29">
        <v>16</v>
      </c>
      <c r="Q6" s="29">
        <v>17</v>
      </c>
      <c r="R6" s="29">
        <v>18</v>
      </c>
      <c r="S6" s="29">
        <v>19</v>
      </c>
    </row>
    <row r="7" spans="1:19" ht="18.75" customHeight="1">
      <c r="A7" s="69"/>
      <c r="B7" s="167" t="s">
        <v>270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  <c r="N7" s="28"/>
      <c r="O7" s="29"/>
      <c r="P7" s="29"/>
      <c r="Q7" s="29"/>
      <c r="R7" s="29"/>
      <c r="S7" s="29"/>
    </row>
    <row r="8" spans="1:19" ht="24" customHeight="1">
      <c r="A8" s="140">
        <v>1</v>
      </c>
      <c r="B8" s="146" t="s">
        <v>231</v>
      </c>
      <c r="C8" s="143" t="s">
        <v>228</v>
      </c>
      <c r="D8" s="146">
        <v>1959</v>
      </c>
      <c r="E8" s="154">
        <v>30</v>
      </c>
      <c r="F8" s="154">
        <v>8450.6</v>
      </c>
      <c r="G8" s="164">
        <v>7481.7</v>
      </c>
      <c r="H8" s="164">
        <v>2005</v>
      </c>
      <c r="I8" s="146" t="s">
        <v>246</v>
      </c>
      <c r="J8" s="164">
        <v>2006</v>
      </c>
      <c r="K8" s="143" t="s">
        <v>247</v>
      </c>
      <c r="L8" s="143" t="s">
        <v>247</v>
      </c>
      <c r="M8" s="163">
        <f>SUM(O8:S10)</f>
        <v>14554</v>
      </c>
      <c r="N8" s="32" t="s">
        <v>19</v>
      </c>
      <c r="O8" s="64"/>
      <c r="P8" s="64"/>
      <c r="Q8" s="64"/>
      <c r="R8" s="64"/>
      <c r="S8" s="64"/>
    </row>
    <row r="9" spans="1:19" ht="24" customHeight="1">
      <c r="A9" s="140"/>
      <c r="B9" s="147"/>
      <c r="C9" s="133"/>
      <c r="D9" s="147"/>
      <c r="E9" s="155"/>
      <c r="F9" s="155"/>
      <c r="G9" s="165"/>
      <c r="H9" s="165"/>
      <c r="I9" s="147"/>
      <c r="J9" s="165"/>
      <c r="K9" s="133"/>
      <c r="L9" s="133"/>
      <c r="M9" s="140"/>
      <c r="N9" s="32" t="s">
        <v>69</v>
      </c>
      <c r="O9" s="64"/>
      <c r="P9" s="64"/>
      <c r="Q9" s="64"/>
      <c r="R9" s="64"/>
      <c r="S9" s="64"/>
    </row>
    <row r="10" spans="1:20" ht="24" customHeight="1">
      <c r="A10" s="141"/>
      <c r="B10" s="148"/>
      <c r="C10" s="134"/>
      <c r="D10" s="148"/>
      <c r="E10" s="156"/>
      <c r="F10" s="156"/>
      <c r="G10" s="166"/>
      <c r="H10" s="166"/>
      <c r="I10" s="148"/>
      <c r="J10" s="166"/>
      <c r="K10" s="134"/>
      <c r="L10" s="134"/>
      <c r="M10" s="141"/>
      <c r="N10" s="32" t="s">
        <v>21</v>
      </c>
      <c r="O10" s="63">
        <v>14554</v>
      </c>
      <c r="P10" s="63"/>
      <c r="Q10" s="63"/>
      <c r="R10" s="63"/>
      <c r="S10" s="64"/>
      <c r="T10" s="58"/>
    </row>
    <row r="11" spans="1:19" ht="24" customHeight="1">
      <c r="A11" s="140">
        <v>2</v>
      </c>
      <c r="B11" s="146" t="s">
        <v>230</v>
      </c>
      <c r="C11" s="143" t="s">
        <v>245</v>
      </c>
      <c r="D11" s="146">
        <v>1959</v>
      </c>
      <c r="E11" s="154">
        <v>30</v>
      </c>
      <c r="F11" s="154">
        <v>3353.5</v>
      </c>
      <c r="G11" s="164">
        <v>0</v>
      </c>
      <c r="H11" s="164" t="s">
        <v>71</v>
      </c>
      <c r="I11" s="146" t="s">
        <v>246</v>
      </c>
      <c r="J11" s="164">
        <v>2006</v>
      </c>
      <c r="K11" s="143" t="s">
        <v>254</v>
      </c>
      <c r="L11" s="143" t="s">
        <v>254</v>
      </c>
      <c r="M11" s="163">
        <f>SUM(O11:S13)</f>
        <v>900</v>
      </c>
      <c r="N11" s="32" t="s">
        <v>19</v>
      </c>
      <c r="O11" s="63"/>
      <c r="P11" s="63"/>
      <c r="Q11" s="63"/>
      <c r="R11" s="63"/>
      <c r="S11" s="64"/>
    </row>
    <row r="12" spans="1:19" ht="24" customHeight="1">
      <c r="A12" s="140"/>
      <c r="B12" s="147"/>
      <c r="C12" s="133"/>
      <c r="D12" s="147"/>
      <c r="E12" s="155"/>
      <c r="F12" s="155"/>
      <c r="G12" s="165"/>
      <c r="H12" s="165"/>
      <c r="I12" s="147"/>
      <c r="J12" s="165"/>
      <c r="K12" s="133"/>
      <c r="L12" s="133"/>
      <c r="M12" s="140"/>
      <c r="N12" s="32" t="s">
        <v>69</v>
      </c>
      <c r="O12" s="63"/>
      <c r="P12" s="63"/>
      <c r="Q12" s="63"/>
      <c r="R12" s="63"/>
      <c r="S12" s="64"/>
    </row>
    <row r="13" spans="1:20" ht="24" customHeight="1">
      <c r="A13" s="141"/>
      <c r="B13" s="148"/>
      <c r="C13" s="134"/>
      <c r="D13" s="148"/>
      <c r="E13" s="156"/>
      <c r="F13" s="156"/>
      <c r="G13" s="166"/>
      <c r="H13" s="166"/>
      <c r="I13" s="148"/>
      <c r="J13" s="166"/>
      <c r="K13" s="134"/>
      <c r="L13" s="134"/>
      <c r="M13" s="141"/>
      <c r="N13" s="32" t="s">
        <v>21</v>
      </c>
      <c r="O13" s="63">
        <v>900</v>
      </c>
      <c r="P13" s="63"/>
      <c r="Q13" s="63"/>
      <c r="R13" s="63"/>
      <c r="S13" s="64"/>
      <c r="T13" s="58"/>
    </row>
    <row r="14" spans="1:19" ht="31.5" customHeight="1">
      <c r="A14" s="140">
        <v>3</v>
      </c>
      <c r="B14" s="142" t="s">
        <v>229</v>
      </c>
      <c r="C14" s="143" t="s">
        <v>228</v>
      </c>
      <c r="D14" s="142">
        <v>1960</v>
      </c>
      <c r="E14" s="144">
        <v>30</v>
      </c>
      <c r="F14" s="144">
        <v>436.1</v>
      </c>
      <c r="G14" s="145">
        <v>0</v>
      </c>
      <c r="H14" s="145" t="s">
        <v>71</v>
      </c>
      <c r="I14" s="146" t="s">
        <v>246</v>
      </c>
      <c r="J14" s="146" t="s">
        <v>299</v>
      </c>
      <c r="K14" s="143" t="s">
        <v>255</v>
      </c>
      <c r="L14" s="143" t="s">
        <v>255</v>
      </c>
      <c r="M14" s="139">
        <f>SUM(O14:S16)</f>
        <v>9878</v>
      </c>
      <c r="N14" s="32" t="s">
        <v>19</v>
      </c>
      <c r="O14" s="63"/>
      <c r="P14" s="63"/>
      <c r="Q14" s="63"/>
      <c r="R14" s="63"/>
      <c r="S14" s="64"/>
    </row>
    <row r="15" spans="1:19" ht="31.5" customHeight="1">
      <c r="A15" s="140"/>
      <c r="B15" s="142"/>
      <c r="C15" s="133"/>
      <c r="D15" s="142"/>
      <c r="E15" s="144"/>
      <c r="F15" s="144"/>
      <c r="G15" s="145"/>
      <c r="H15" s="145"/>
      <c r="I15" s="147"/>
      <c r="J15" s="147"/>
      <c r="K15" s="133"/>
      <c r="L15" s="133"/>
      <c r="M15" s="139"/>
      <c r="N15" s="32" t="s">
        <v>69</v>
      </c>
      <c r="O15" s="63"/>
      <c r="P15" s="63"/>
      <c r="Q15" s="63"/>
      <c r="R15" s="63"/>
      <c r="S15" s="64"/>
    </row>
    <row r="16" spans="1:20" ht="31.5" customHeight="1">
      <c r="A16" s="141"/>
      <c r="B16" s="142"/>
      <c r="C16" s="134"/>
      <c r="D16" s="142"/>
      <c r="E16" s="144"/>
      <c r="F16" s="144"/>
      <c r="G16" s="145"/>
      <c r="H16" s="145"/>
      <c r="I16" s="148"/>
      <c r="J16" s="148"/>
      <c r="K16" s="134"/>
      <c r="L16" s="134"/>
      <c r="M16" s="139"/>
      <c r="N16" s="32" t="s">
        <v>21</v>
      </c>
      <c r="O16" s="63"/>
      <c r="P16" s="63">
        <f>13170-1646*2</f>
        <v>9878</v>
      </c>
      <c r="Q16" s="63"/>
      <c r="R16" s="63"/>
      <c r="S16" s="64"/>
      <c r="T16" s="58"/>
    </row>
    <row r="17" spans="1:19" ht="24" customHeight="1">
      <c r="A17" s="140">
        <v>4</v>
      </c>
      <c r="B17" s="142" t="s">
        <v>232</v>
      </c>
      <c r="C17" s="143" t="s">
        <v>228</v>
      </c>
      <c r="D17" s="146">
        <v>1954</v>
      </c>
      <c r="E17" s="154">
        <v>30</v>
      </c>
      <c r="F17" s="154">
        <v>476.7</v>
      </c>
      <c r="G17" s="145">
        <v>0</v>
      </c>
      <c r="H17" s="145" t="s">
        <v>71</v>
      </c>
      <c r="I17" s="146" t="s">
        <v>246</v>
      </c>
      <c r="J17" s="146" t="s">
        <v>299</v>
      </c>
      <c r="K17" s="143" t="s">
        <v>256</v>
      </c>
      <c r="L17" s="143" t="s">
        <v>256</v>
      </c>
      <c r="M17" s="139">
        <f>SUM(O17:S19)</f>
        <v>15318</v>
      </c>
      <c r="N17" s="32" t="s">
        <v>19</v>
      </c>
      <c r="O17" s="63"/>
      <c r="P17" s="63"/>
      <c r="Q17" s="63"/>
      <c r="R17" s="63"/>
      <c r="S17" s="64"/>
    </row>
    <row r="18" spans="1:19" ht="24" customHeight="1">
      <c r="A18" s="140"/>
      <c r="B18" s="142"/>
      <c r="C18" s="133"/>
      <c r="D18" s="147"/>
      <c r="E18" s="155"/>
      <c r="F18" s="155"/>
      <c r="G18" s="145"/>
      <c r="H18" s="145"/>
      <c r="I18" s="147"/>
      <c r="J18" s="147"/>
      <c r="K18" s="133"/>
      <c r="L18" s="133"/>
      <c r="M18" s="139"/>
      <c r="N18" s="32" t="s">
        <v>69</v>
      </c>
      <c r="O18" s="63"/>
      <c r="P18" s="63"/>
      <c r="Q18" s="63">
        <v>1200</v>
      </c>
      <c r="R18" s="63">
        <f>1800-361+240</f>
        <v>1679</v>
      </c>
      <c r="S18" s="64"/>
    </row>
    <row r="19" spans="1:20" ht="24" customHeight="1">
      <c r="A19" s="141"/>
      <c r="B19" s="142"/>
      <c r="C19" s="134"/>
      <c r="D19" s="148"/>
      <c r="E19" s="156"/>
      <c r="F19" s="156"/>
      <c r="G19" s="145"/>
      <c r="H19" s="145"/>
      <c r="I19" s="148"/>
      <c r="J19" s="148"/>
      <c r="K19" s="134"/>
      <c r="L19" s="134"/>
      <c r="M19" s="139"/>
      <c r="N19" s="32" t="s">
        <v>21</v>
      </c>
      <c r="O19" s="63"/>
      <c r="P19" s="63">
        <f>14505-1813*2</f>
        <v>10879</v>
      </c>
      <c r="Q19" s="63"/>
      <c r="R19" s="63"/>
      <c r="S19" s="64">
        <f>1800-240</f>
        <v>1560</v>
      </c>
      <c r="T19" s="58"/>
    </row>
    <row r="20" spans="1:19" ht="25.5" customHeight="1">
      <c r="A20" s="140">
        <v>5</v>
      </c>
      <c r="B20" s="142" t="s">
        <v>234</v>
      </c>
      <c r="C20" s="143" t="s">
        <v>228</v>
      </c>
      <c r="D20" s="142">
        <v>1966</v>
      </c>
      <c r="E20" s="154">
        <v>30</v>
      </c>
      <c r="F20" s="154">
        <v>283</v>
      </c>
      <c r="G20" s="145">
        <v>0</v>
      </c>
      <c r="H20" s="145" t="s">
        <v>71</v>
      </c>
      <c r="I20" s="146" t="s">
        <v>246</v>
      </c>
      <c r="J20" s="146" t="s">
        <v>299</v>
      </c>
      <c r="K20" s="143" t="s">
        <v>257</v>
      </c>
      <c r="L20" s="143" t="s">
        <v>257</v>
      </c>
      <c r="M20" s="139">
        <f>SUM(O20:S22)</f>
        <v>5951</v>
      </c>
      <c r="N20" s="32" t="s">
        <v>19</v>
      </c>
      <c r="O20" s="63"/>
      <c r="P20" s="63"/>
      <c r="Q20" s="63"/>
      <c r="R20" s="63"/>
      <c r="S20" s="64"/>
    </row>
    <row r="21" spans="1:19" ht="25.5" customHeight="1">
      <c r="A21" s="140"/>
      <c r="B21" s="142"/>
      <c r="C21" s="133"/>
      <c r="D21" s="142"/>
      <c r="E21" s="155"/>
      <c r="F21" s="155"/>
      <c r="G21" s="145"/>
      <c r="H21" s="145"/>
      <c r="I21" s="147"/>
      <c r="J21" s="147"/>
      <c r="K21" s="133"/>
      <c r="L21" s="133"/>
      <c r="M21" s="139"/>
      <c r="N21" s="32" t="s">
        <v>69</v>
      </c>
      <c r="O21" s="63"/>
      <c r="P21" s="63"/>
      <c r="Q21" s="63"/>
      <c r="R21" s="63"/>
      <c r="S21" s="64"/>
    </row>
    <row r="22" spans="1:20" ht="25.5" customHeight="1">
      <c r="A22" s="141"/>
      <c r="B22" s="142"/>
      <c r="C22" s="134"/>
      <c r="D22" s="142"/>
      <c r="E22" s="156"/>
      <c r="F22" s="156"/>
      <c r="G22" s="145"/>
      <c r="H22" s="145"/>
      <c r="I22" s="148"/>
      <c r="J22" s="148"/>
      <c r="K22" s="134"/>
      <c r="L22" s="134"/>
      <c r="M22" s="139"/>
      <c r="N22" s="32" t="s">
        <v>21</v>
      </c>
      <c r="O22" s="63"/>
      <c r="P22" s="63">
        <f>7935-992*2</f>
        <v>5951</v>
      </c>
      <c r="Q22" s="63"/>
      <c r="R22" s="63"/>
      <c r="S22" s="64"/>
      <c r="T22" s="58"/>
    </row>
    <row r="23" spans="1:19" ht="24" customHeight="1">
      <c r="A23" s="140">
        <v>6</v>
      </c>
      <c r="B23" s="142" t="s">
        <v>233</v>
      </c>
      <c r="C23" s="143" t="s">
        <v>228</v>
      </c>
      <c r="D23" s="142">
        <v>2004</v>
      </c>
      <c r="E23" s="154"/>
      <c r="F23" s="154">
        <v>7.1</v>
      </c>
      <c r="G23" s="145">
        <v>7.1</v>
      </c>
      <c r="H23" s="143" t="s">
        <v>71</v>
      </c>
      <c r="I23" s="146" t="s">
        <v>251</v>
      </c>
      <c r="J23" s="146" t="s">
        <v>299</v>
      </c>
      <c r="K23" s="146" t="s">
        <v>252</v>
      </c>
      <c r="L23" s="146" t="s">
        <v>253</v>
      </c>
      <c r="M23" s="139">
        <f>SUM(O23:S25)</f>
        <v>423</v>
      </c>
      <c r="N23" s="32" t="s">
        <v>19</v>
      </c>
      <c r="O23" s="63"/>
      <c r="P23" s="63"/>
      <c r="Q23" s="63"/>
      <c r="R23" s="63"/>
      <c r="S23" s="64"/>
    </row>
    <row r="24" spans="1:19" ht="24" customHeight="1">
      <c r="A24" s="140"/>
      <c r="B24" s="142"/>
      <c r="C24" s="133"/>
      <c r="D24" s="142"/>
      <c r="E24" s="155"/>
      <c r="F24" s="155"/>
      <c r="G24" s="145"/>
      <c r="H24" s="133"/>
      <c r="I24" s="147"/>
      <c r="J24" s="147"/>
      <c r="K24" s="147"/>
      <c r="L24" s="147"/>
      <c r="M24" s="139"/>
      <c r="N24" s="32" t="s">
        <v>69</v>
      </c>
      <c r="O24" s="63"/>
      <c r="P24" s="63"/>
      <c r="Q24" s="63"/>
      <c r="R24" s="63"/>
      <c r="S24" s="64"/>
    </row>
    <row r="25" spans="1:20" ht="24" customHeight="1">
      <c r="A25" s="141"/>
      <c r="B25" s="142"/>
      <c r="C25" s="134"/>
      <c r="D25" s="142"/>
      <c r="E25" s="156"/>
      <c r="F25" s="156"/>
      <c r="G25" s="145"/>
      <c r="H25" s="134"/>
      <c r="I25" s="148"/>
      <c r="J25" s="148"/>
      <c r="K25" s="148"/>
      <c r="L25" s="148"/>
      <c r="M25" s="139"/>
      <c r="N25" s="32" t="s">
        <v>21</v>
      </c>
      <c r="O25" s="63"/>
      <c r="P25" s="63">
        <f>423</f>
        <v>423</v>
      </c>
      <c r="Q25" s="63"/>
      <c r="R25" s="63"/>
      <c r="S25" s="64"/>
      <c r="T25" s="58"/>
    </row>
    <row r="26" spans="1:19" ht="24" customHeight="1">
      <c r="A26" s="140">
        <v>7</v>
      </c>
      <c r="B26" s="142" t="s">
        <v>235</v>
      </c>
      <c r="C26" s="143" t="s">
        <v>228</v>
      </c>
      <c r="D26" s="142">
        <v>1958</v>
      </c>
      <c r="E26" s="154">
        <v>30</v>
      </c>
      <c r="F26" s="154"/>
      <c r="G26" s="145" t="s">
        <v>71</v>
      </c>
      <c r="H26" s="143" t="s">
        <v>71</v>
      </c>
      <c r="I26" s="146" t="s">
        <v>246</v>
      </c>
      <c r="J26" s="146" t="s">
        <v>299</v>
      </c>
      <c r="K26" s="143" t="s">
        <v>258</v>
      </c>
      <c r="L26" s="143" t="s">
        <v>258</v>
      </c>
      <c r="M26" s="139">
        <f>SUM(O26:S28)</f>
        <v>404</v>
      </c>
      <c r="N26" s="32" t="s">
        <v>19</v>
      </c>
      <c r="O26" s="63"/>
      <c r="P26" s="63"/>
      <c r="Q26" s="63"/>
      <c r="R26" s="63"/>
      <c r="S26" s="64"/>
    </row>
    <row r="27" spans="1:19" ht="24" customHeight="1">
      <c r="A27" s="140"/>
      <c r="B27" s="142"/>
      <c r="C27" s="133"/>
      <c r="D27" s="142"/>
      <c r="E27" s="155"/>
      <c r="F27" s="155"/>
      <c r="G27" s="145"/>
      <c r="H27" s="133"/>
      <c r="I27" s="147"/>
      <c r="J27" s="147"/>
      <c r="K27" s="133"/>
      <c r="L27" s="133"/>
      <c r="M27" s="139"/>
      <c r="N27" s="32" t="s">
        <v>69</v>
      </c>
      <c r="O27" s="63"/>
      <c r="P27" s="63"/>
      <c r="Q27" s="63"/>
      <c r="R27" s="63"/>
      <c r="S27" s="64"/>
    </row>
    <row r="28" spans="1:19" ht="24" customHeight="1">
      <c r="A28" s="141"/>
      <c r="B28" s="142"/>
      <c r="C28" s="134"/>
      <c r="D28" s="142"/>
      <c r="E28" s="156"/>
      <c r="F28" s="156"/>
      <c r="G28" s="145"/>
      <c r="H28" s="134"/>
      <c r="I28" s="148"/>
      <c r="J28" s="148"/>
      <c r="K28" s="134"/>
      <c r="L28" s="134"/>
      <c r="M28" s="139"/>
      <c r="N28" s="32" t="s">
        <v>21</v>
      </c>
      <c r="O28" s="63"/>
      <c r="P28" s="63">
        <f>540-68*2</f>
        <v>404</v>
      </c>
      <c r="Q28" s="63"/>
      <c r="R28" s="63"/>
      <c r="S28" s="64"/>
    </row>
    <row r="29" spans="1:19" ht="24" customHeight="1">
      <c r="A29" s="140">
        <v>8</v>
      </c>
      <c r="B29" s="142" t="s">
        <v>236</v>
      </c>
      <c r="C29" s="143" t="s">
        <v>245</v>
      </c>
      <c r="D29" s="142">
        <v>1959</v>
      </c>
      <c r="E29" s="144">
        <v>30</v>
      </c>
      <c r="F29" s="144">
        <v>3353.5</v>
      </c>
      <c r="G29" s="145">
        <v>0</v>
      </c>
      <c r="H29" s="145" t="s">
        <v>71</v>
      </c>
      <c r="I29" s="146" t="s">
        <v>246</v>
      </c>
      <c r="J29" s="146" t="s">
        <v>299</v>
      </c>
      <c r="K29" s="143" t="s">
        <v>259</v>
      </c>
      <c r="L29" s="143" t="s">
        <v>259</v>
      </c>
      <c r="M29" s="139">
        <f>SUM(O29:S31)</f>
        <v>562</v>
      </c>
      <c r="N29" s="32" t="s">
        <v>19</v>
      </c>
      <c r="O29" s="63"/>
      <c r="P29" s="63"/>
      <c r="Q29" s="63"/>
      <c r="R29" s="63"/>
      <c r="S29" s="64"/>
    </row>
    <row r="30" spans="1:19" ht="24" customHeight="1">
      <c r="A30" s="140"/>
      <c r="B30" s="142"/>
      <c r="C30" s="133"/>
      <c r="D30" s="142"/>
      <c r="E30" s="144"/>
      <c r="F30" s="144"/>
      <c r="G30" s="145"/>
      <c r="H30" s="145"/>
      <c r="I30" s="147"/>
      <c r="J30" s="147"/>
      <c r="K30" s="133"/>
      <c r="L30" s="133"/>
      <c r="M30" s="139"/>
      <c r="N30" s="32" t="s">
        <v>69</v>
      </c>
      <c r="O30" s="63"/>
      <c r="P30" s="63"/>
      <c r="Q30" s="63"/>
      <c r="R30" s="63"/>
      <c r="S30" s="64"/>
    </row>
    <row r="31" spans="1:19" ht="24" customHeight="1">
      <c r="A31" s="141"/>
      <c r="B31" s="142"/>
      <c r="C31" s="134"/>
      <c r="D31" s="142"/>
      <c r="E31" s="144"/>
      <c r="F31" s="144"/>
      <c r="G31" s="145"/>
      <c r="H31" s="145"/>
      <c r="I31" s="148"/>
      <c r="J31" s="148"/>
      <c r="K31" s="134"/>
      <c r="L31" s="134"/>
      <c r="M31" s="139"/>
      <c r="N31" s="32" t="s">
        <v>21</v>
      </c>
      <c r="O31" s="63"/>
      <c r="P31" s="63">
        <f>750-94*2</f>
        <v>562</v>
      </c>
      <c r="Q31" s="63"/>
      <c r="R31" s="63"/>
      <c r="S31" s="64"/>
    </row>
    <row r="32" spans="1:19" ht="24" customHeight="1">
      <c r="A32" s="140">
        <v>9</v>
      </c>
      <c r="B32" s="142" t="s">
        <v>237</v>
      </c>
      <c r="C32" s="143" t="s">
        <v>228</v>
      </c>
      <c r="D32" s="142">
        <v>1960</v>
      </c>
      <c r="E32" s="144">
        <v>30</v>
      </c>
      <c r="F32" s="144">
        <v>689.5</v>
      </c>
      <c r="G32" s="145">
        <v>0</v>
      </c>
      <c r="H32" s="145" t="s">
        <v>71</v>
      </c>
      <c r="I32" s="146" t="s">
        <v>246</v>
      </c>
      <c r="J32" s="145">
        <v>2006</v>
      </c>
      <c r="K32" s="143" t="s">
        <v>260</v>
      </c>
      <c r="L32" s="143" t="s">
        <v>260</v>
      </c>
      <c r="M32" s="139">
        <f>SUM(O32:S34)</f>
        <v>24589</v>
      </c>
      <c r="N32" s="32" t="s">
        <v>19</v>
      </c>
      <c r="O32" s="63"/>
      <c r="P32" s="63"/>
      <c r="Q32" s="63">
        <f>21750/8-120</f>
        <v>2598.75</v>
      </c>
      <c r="R32" s="63"/>
      <c r="S32" s="64"/>
    </row>
    <row r="33" spans="1:19" ht="24" customHeight="1">
      <c r="A33" s="140"/>
      <c r="B33" s="142"/>
      <c r="C33" s="133"/>
      <c r="D33" s="142"/>
      <c r="E33" s="144"/>
      <c r="F33" s="144"/>
      <c r="G33" s="145"/>
      <c r="H33" s="145"/>
      <c r="I33" s="147"/>
      <c r="J33" s="145"/>
      <c r="K33" s="133"/>
      <c r="L33" s="133"/>
      <c r="M33" s="139"/>
      <c r="N33" s="32" t="s">
        <v>69</v>
      </c>
      <c r="O33" s="63"/>
      <c r="P33" s="63"/>
      <c r="Q33" s="63"/>
      <c r="R33" s="63"/>
      <c r="S33" s="64"/>
    </row>
    <row r="34" spans="1:20" ht="24" customHeight="1">
      <c r="A34" s="141"/>
      <c r="B34" s="142"/>
      <c r="C34" s="134"/>
      <c r="D34" s="142"/>
      <c r="E34" s="144"/>
      <c r="F34" s="144"/>
      <c r="G34" s="145"/>
      <c r="H34" s="145"/>
      <c r="I34" s="148"/>
      <c r="J34" s="145"/>
      <c r="K34" s="134"/>
      <c r="L34" s="134"/>
      <c r="M34" s="139"/>
      <c r="N34" s="32" t="s">
        <v>21</v>
      </c>
      <c r="O34" s="63"/>
      <c r="P34" s="63"/>
      <c r="Q34" s="63">
        <f>21750-Q32</f>
        <v>19151.25</v>
      </c>
      <c r="R34" s="63"/>
      <c r="S34" s="64">
        <f>2719+120</f>
        <v>2839</v>
      </c>
      <c r="T34" s="58"/>
    </row>
    <row r="35" spans="1:20" ht="24" customHeight="1">
      <c r="A35" s="140">
        <v>10</v>
      </c>
      <c r="B35" s="142" t="s">
        <v>250</v>
      </c>
      <c r="C35" s="143" t="s">
        <v>228</v>
      </c>
      <c r="D35" s="142">
        <v>1962</v>
      </c>
      <c r="E35" s="144">
        <v>30</v>
      </c>
      <c r="F35" s="144">
        <v>441.9</v>
      </c>
      <c r="G35" s="145">
        <v>0</v>
      </c>
      <c r="H35" s="143" t="s">
        <v>71</v>
      </c>
      <c r="I35" s="146" t="s">
        <v>246</v>
      </c>
      <c r="J35" s="146" t="s">
        <v>299</v>
      </c>
      <c r="K35" s="143" t="s">
        <v>261</v>
      </c>
      <c r="L35" s="143" t="s">
        <v>261</v>
      </c>
      <c r="M35" s="139">
        <f>SUM(O35:S37)</f>
        <v>11894</v>
      </c>
      <c r="N35" s="32" t="s">
        <v>19</v>
      </c>
      <c r="O35" s="63"/>
      <c r="P35" s="63"/>
      <c r="Q35" s="63"/>
      <c r="R35" s="63"/>
      <c r="S35" s="64"/>
      <c r="T35" s="58"/>
    </row>
    <row r="36" spans="1:20" ht="24" customHeight="1">
      <c r="A36" s="140"/>
      <c r="B36" s="142"/>
      <c r="C36" s="133"/>
      <c r="D36" s="142"/>
      <c r="E36" s="144"/>
      <c r="F36" s="144"/>
      <c r="G36" s="145"/>
      <c r="H36" s="133"/>
      <c r="I36" s="147"/>
      <c r="J36" s="147"/>
      <c r="K36" s="133"/>
      <c r="L36" s="133"/>
      <c r="M36" s="139"/>
      <c r="N36" s="32" t="s">
        <v>69</v>
      </c>
      <c r="O36" s="63"/>
      <c r="P36" s="63"/>
      <c r="Q36" s="63"/>
      <c r="R36" s="63"/>
      <c r="S36" s="64"/>
      <c r="T36" s="58"/>
    </row>
    <row r="37" spans="1:20" ht="24" customHeight="1">
      <c r="A37" s="141"/>
      <c r="B37" s="142"/>
      <c r="C37" s="134"/>
      <c r="D37" s="142"/>
      <c r="E37" s="144"/>
      <c r="F37" s="144"/>
      <c r="G37" s="145"/>
      <c r="H37" s="134"/>
      <c r="I37" s="148"/>
      <c r="J37" s="148"/>
      <c r="K37" s="134"/>
      <c r="L37" s="134"/>
      <c r="M37" s="139"/>
      <c r="N37" s="32" t="s">
        <v>21</v>
      </c>
      <c r="O37" s="63"/>
      <c r="P37" s="63">
        <f>5000+320</f>
        <v>5320</v>
      </c>
      <c r="Q37" s="63">
        <f>15060-Q35-Q36-5000-320-1583*2</f>
        <v>6574</v>
      </c>
      <c r="R37" s="63"/>
      <c r="S37" s="64"/>
      <c r="T37" s="58"/>
    </row>
    <row r="38" spans="1:19" ht="24" customHeight="1">
      <c r="A38" s="140">
        <v>11</v>
      </c>
      <c r="B38" s="142" t="s">
        <v>238</v>
      </c>
      <c r="C38" s="143" t="s">
        <v>228</v>
      </c>
      <c r="D38" s="142">
        <v>1997</v>
      </c>
      <c r="E38" s="144"/>
      <c r="F38" s="144">
        <v>9.8</v>
      </c>
      <c r="G38" s="145">
        <v>0</v>
      </c>
      <c r="H38" s="145" t="s">
        <v>71</v>
      </c>
      <c r="I38" s="146" t="s">
        <v>251</v>
      </c>
      <c r="J38" s="146" t="s">
        <v>299</v>
      </c>
      <c r="K38" s="146" t="s">
        <v>252</v>
      </c>
      <c r="L38" s="146" t="s">
        <v>253</v>
      </c>
      <c r="M38" s="139">
        <f>SUM(O38:S40)</f>
        <v>423</v>
      </c>
      <c r="N38" s="32" t="s">
        <v>19</v>
      </c>
      <c r="O38" s="63"/>
      <c r="P38" s="63"/>
      <c r="Q38" s="63"/>
      <c r="R38" s="63"/>
      <c r="S38" s="64"/>
    </row>
    <row r="39" spans="1:19" ht="24" customHeight="1">
      <c r="A39" s="140"/>
      <c r="B39" s="142"/>
      <c r="C39" s="133"/>
      <c r="D39" s="142"/>
      <c r="E39" s="144"/>
      <c r="F39" s="144"/>
      <c r="G39" s="145"/>
      <c r="H39" s="145"/>
      <c r="I39" s="147"/>
      <c r="J39" s="147"/>
      <c r="K39" s="147"/>
      <c r="L39" s="147"/>
      <c r="M39" s="139"/>
      <c r="N39" s="32" t="s">
        <v>69</v>
      </c>
      <c r="O39" s="63"/>
      <c r="P39" s="63"/>
      <c r="Q39" s="63"/>
      <c r="R39" s="63"/>
      <c r="S39" s="64"/>
    </row>
    <row r="40" spans="1:19" ht="24" customHeight="1">
      <c r="A40" s="141"/>
      <c r="B40" s="142"/>
      <c r="C40" s="134"/>
      <c r="D40" s="142"/>
      <c r="E40" s="144"/>
      <c r="F40" s="144"/>
      <c r="G40" s="145"/>
      <c r="H40" s="145"/>
      <c r="I40" s="148"/>
      <c r="J40" s="148"/>
      <c r="K40" s="148"/>
      <c r="L40" s="148"/>
      <c r="M40" s="139"/>
      <c r="N40" s="32" t="s">
        <v>21</v>
      </c>
      <c r="O40" s="63"/>
      <c r="P40" s="63">
        <v>423</v>
      </c>
      <c r="Q40" s="63"/>
      <c r="R40" s="63"/>
      <c r="S40" s="64"/>
    </row>
    <row r="41" spans="1:21" ht="24" customHeight="1">
      <c r="A41" s="140"/>
      <c r="B41" s="151" t="s">
        <v>269</v>
      </c>
      <c r="C41" s="139"/>
      <c r="D41" s="152"/>
      <c r="E41" s="153"/>
      <c r="F41" s="153"/>
      <c r="G41" s="139"/>
      <c r="H41" s="139"/>
      <c r="I41" s="163"/>
      <c r="J41" s="139"/>
      <c r="K41" s="139"/>
      <c r="L41" s="139"/>
      <c r="M41" s="138">
        <f>SUM(M8:M40)</f>
        <v>84896</v>
      </c>
      <c r="N41" s="40" t="s">
        <v>19</v>
      </c>
      <c r="O41" s="65">
        <f aca="true" t="shared" si="0" ref="O41:S43">SUM(O8,O11,O14,O17,O20,O23,O26,O29,O32,O35,O38)</f>
        <v>0</v>
      </c>
      <c r="P41" s="65">
        <f t="shared" si="0"/>
        <v>0</v>
      </c>
      <c r="Q41" s="65">
        <f t="shared" si="0"/>
        <v>2598.75</v>
      </c>
      <c r="R41" s="65">
        <f t="shared" si="0"/>
        <v>0</v>
      </c>
      <c r="S41" s="65">
        <f t="shared" si="0"/>
        <v>0</v>
      </c>
      <c r="T41" s="66"/>
      <c r="U41" s="42"/>
    </row>
    <row r="42" spans="1:21" ht="24" customHeight="1">
      <c r="A42" s="140"/>
      <c r="B42" s="151"/>
      <c r="C42" s="139"/>
      <c r="D42" s="152"/>
      <c r="E42" s="153"/>
      <c r="F42" s="153"/>
      <c r="G42" s="139"/>
      <c r="H42" s="139"/>
      <c r="I42" s="140"/>
      <c r="J42" s="139"/>
      <c r="K42" s="139"/>
      <c r="L42" s="139"/>
      <c r="M42" s="138"/>
      <c r="N42" s="40" t="s">
        <v>69</v>
      </c>
      <c r="O42" s="65">
        <f t="shared" si="0"/>
        <v>0</v>
      </c>
      <c r="P42" s="65">
        <f t="shared" si="0"/>
        <v>0</v>
      </c>
      <c r="Q42" s="65">
        <f t="shared" si="0"/>
        <v>1200</v>
      </c>
      <c r="R42" s="65">
        <f t="shared" si="0"/>
        <v>1679</v>
      </c>
      <c r="S42" s="65">
        <f t="shared" si="0"/>
        <v>0</v>
      </c>
      <c r="T42" s="66"/>
      <c r="U42" s="42"/>
    </row>
    <row r="43" spans="1:21" ht="24" customHeight="1">
      <c r="A43" s="141"/>
      <c r="B43" s="151"/>
      <c r="C43" s="139"/>
      <c r="D43" s="152"/>
      <c r="E43" s="153"/>
      <c r="F43" s="153"/>
      <c r="G43" s="139"/>
      <c r="H43" s="139"/>
      <c r="I43" s="141"/>
      <c r="J43" s="139"/>
      <c r="K43" s="139"/>
      <c r="L43" s="139"/>
      <c r="M43" s="138"/>
      <c r="N43" s="40" t="s">
        <v>21</v>
      </c>
      <c r="O43" s="65">
        <f t="shared" si="0"/>
        <v>15454</v>
      </c>
      <c r="P43" s="65">
        <f t="shared" si="0"/>
        <v>33840</v>
      </c>
      <c r="Q43" s="65">
        <f t="shared" si="0"/>
        <v>25725.25</v>
      </c>
      <c r="R43" s="65">
        <f t="shared" si="0"/>
        <v>0</v>
      </c>
      <c r="S43" s="65">
        <f t="shared" si="0"/>
        <v>4399</v>
      </c>
      <c r="T43" s="66"/>
      <c r="U43" s="42"/>
    </row>
    <row r="44" spans="1:20" ht="24" customHeight="1">
      <c r="A44" s="31"/>
      <c r="B44" s="167" t="s">
        <v>268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9"/>
      <c r="N44" s="32"/>
      <c r="O44" s="67"/>
      <c r="P44" s="67"/>
      <c r="Q44" s="67"/>
      <c r="R44" s="67"/>
      <c r="S44" s="68"/>
      <c r="T44" s="66"/>
    </row>
    <row r="45" spans="1:19" ht="24" customHeight="1">
      <c r="A45" s="140">
        <v>12</v>
      </c>
      <c r="B45" s="142" t="s">
        <v>249</v>
      </c>
      <c r="C45" s="143" t="s">
        <v>228</v>
      </c>
      <c r="D45" s="142">
        <v>1960</v>
      </c>
      <c r="E45" s="144">
        <v>30</v>
      </c>
      <c r="F45" s="144">
        <v>407.9</v>
      </c>
      <c r="G45" s="145">
        <v>0</v>
      </c>
      <c r="H45" s="145" t="s">
        <v>71</v>
      </c>
      <c r="I45" s="146" t="s">
        <v>246</v>
      </c>
      <c r="J45" s="146" t="s">
        <v>298</v>
      </c>
      <c r="K45" s="143" t="s">
        <v>262</v>
      </c>
      <c r="L45" s="143" t="s">
        <v>262</v>
      </c>
      <c r="M45" s="139">
        <f>SUM(O45:S47)</f>
        <v>18271</v>
      </c>
      <c r="N45" s="32" t="s">
        <v>19</v>
      </c>
      <c r="O45" s="63"/>
      <c r="P45" s="63"/>
      <c r="Q45" s="63"/>
      <c r="R45" s="63"/>
      <c r="S45" s="64"/>
    </row>
    <row r="46" spans="1:19" ht="24" customHeight="1">
      <c r="A46" s="140"/>
      <c r="B46" s="142"/>
      <c r="C46" s="133"/>
      <c r="D46" s="142"/>
      <c r="E46" s="144"/>
      <c r="F46" s="144"/>
      <c r="G46" s="145"/>
      <c r="H46" s="145"/>
      <c r="I46" s="147"/>
      <c r="J46" s="147"/>
      <c r="K46" s="133"/>
      <c r="L46" s="133"/>
      <c r="M46" s="139"/>
      <c r="N46" s="32" t="s">
        <v>69</v>
      </c>
      <c r="O46" s="63"/>
      <c r="P46" s="63"/>
      <c r="Q46" s="63">
        <v>2839</v>
      </c>
      <c r="R46" s="63"/>
      <c r="S46" s="64"/>
    </row>
    <row r="47" spans="1:19" ht="24" customHeight="1">
      <c r="A47" s="141"/>
      <c r="B47" s="142"/>
      <c r="C47" s="134"/>
      <c r="D47" s="142"/>
      <c r="E47" s="144"/>
      <c r="F47" s="144"/>
      <c r="G47" s="145"/>
      <c r="H47" s="145"/>
      <c r="I47" s="148"/>
      <c r="J47" s="148"/>
      <c r="K47" s="134"/>
      <c r="L47" s="134"/>
      <c r="M47" s="139"/>
      <c r="N47" s="32" t="s">
        <v>21</v>
      </c>
      <c r="O47" s="63"/>
      <c r="P47" s="63"/>
      <c r="Q47" s="63">
        <f>13895-599-2839</f>
        <v>10457</v>
      </c>
      <c r="R47" s="63">
        <f>18870-2359*2-13895</f>
        <v>257</v>
      </c>
      <c r="S47" s="64">
        <f>2359*2</f>
        <v>4718</v>
      </c>
    </row>
    <row r="48" spans="1:19" ht="24" customHeight="1">
      <c r="A48" s="140">
        <v>13</v>
      </c>
      <c r="B48" s="142" t="s">
        <v>239</v>
      </c>
      <c r="C48" s="143" t="s">
        <v>228</v>
      </c>
      <c r="D48" s="142">
        <v>2004</v>
      </c>
      <c r="E48" s="144"/>
      <c r="F48" s="144">
        <v>8.5</v>
      </c>
      <c r="G48" s="145">
        <v>8.5</v>
      </c>
      <c r="H48" s="145" t="s">
        <v>71</v>
      </c>
      <c r="I48" s="146" t="s">
        <v>251</v>
      </c>
      <c r="J48" s="146" t="s">
        <v>298</v>
      </c>
      <c r="K48" s="146" t="s">
        <v>252</v>
      </c>
      <c r="L48" s="146" t="s">
        <v>253</v>
      </c>
      <c r="M48" s="139">
        <f>SUM(O48:S50)</f>
        <v>423</v>
      </c>
      <c r="N48" s="32" t="s">
        <v>19</v>
      </c>
      <c r="O48" s="63"/>
      <c r="P48" s="63"/>
      <c r="Q48" s="63"/>
      <c r="R48" s="63"/>
      <c r="S48" s="64"/>
    </row>
    <row r="49" spans="1:19" ht="24" customHeight="1">
      <c r="A49" s="140"/>
      <c r="B49" s="142"/>
      <c r="C49" s="133"/>
      <c r="D49" s="142"/>
      <c r="E49" s="144"/>
      <c r="F49" s="144"/>
      <c r="G49" s="145"/>
      <c r="H49" s="145"/>
      <c r="I49" s="147"/>
      <c r="J49" s="147"/>
      <c r="K49" s="147"/>
      <c r="L49" s="147"/>
      <c r="M49" s="139"/>
      <c r="N49" s="32" t="s">
        <v>69</v>
      </c>
      <c r="O49" s="63"/>
      <c r="P49" s="63"/>
      <c r="Q49" s="63"/>
      <c r="R49" s="63">
        <v>375</v>
      </c>
      <c r="S49" s="64"/>
    </row>
    <row r="50" spans="1:19" ht="24" customHeight="1">
      <c r="A50" s="141"/>
      <c r="B50" s="142"/>
      <c r="C50" s="134"/>
      <c r="D50" s="142"/>
      <c r="E50" s="144"/>
      <c r="F50" s="144"/>
      <c r="G50" s="145"/>
      <c r="H50" s="145"/>
      <c r="I50" s="148"/>
      <c r="J50" s="148"/>
      <c r="K50" s="148"/>
      <c r="L50" s="148"/>
      <c r="M50" s="139"/>
      <c r="N50" s="32" t="s">
        <v>21</v>
      </c>
      <c r="O50" s="63"/>
      <c r="P50" s="63"/>
      <c r="Q50" s="63"/>
      <c r="R50" s="63">
        <f>423-375</f>
        <v>48</v>
      </c>
      <c r="S50" s="64"/>
    </row>
    <row r="51" spans="1:19" ht="24" customHeight="1">
      <c r="A51" s="140">
        <v>14</v>
      </c>
      <c r="B51" s="142" t="s">
        <v>240</v>
      </c>
      <c r="C51" s="143" t="s">
        <v>228</v>
      </c>
      <c r="D51" s="142">
        <v>1959</v>
      </c>
      <c r="E51" s="144">
        <v>30</v>
      </c>
      <c r="F51" s="144" t="s">
        <v>71</v>
      </c>
      <c r="G51" s="145" t="s">
        <v>71</v>
      </c>
      <c r="H51" s="145" t="s">
        <v>71</v>
      </c>
      <c r="I51" s="146" t="s">
        <v>246</v>
      </c>
      <c r="J51" s="145">
        <v>2005</v>
      </c>
      <c r="K51" s="143" t="s">
        <v>263</v>
      </c>
      <c r="L51" s="143" t="s">
        <v>263</v>
      </c>
      <c r="M51" s="139">
        <f>SUM(O51:S53)</f>
        <v>780</v>
      </c>
      <c r="N51" s="32" t="s">
        <v>19</v>
      </c>
      <c r="O51" s="63"/>
      <c r="P51" s="63"/>
      <c r="Q51" s="63"/>
      <c r="R51" s="63"/>
      <c r="S51" s="64"/>
    </row>
    <row r="52" spans="1:19" ht="24" customHeight="1">
      <c r="A52" s="140"/>
      <c r="B52" s="142"/>
      <c r="C52" s="133"/>
      <c r="D52" s="142"/>
      <c r="E52" s="144"/>
      <c r="F52" s="144"/>
      <c r="G52" s="145"/>
      <c r="H52" s="145"/>
      <c r="I52" s="147"/>
      <c r="J52" s="145"/>
      <c r="K52" s="133"/>
      <c r="L52" s="133"/>
      <c r="M52" s="139"/>
      <c r="N52" s="32" t="s">
        <v>69</v>
      </c>
      <c r="O52" s="63"/>
      <c r="P52" s="63"/>
      <c r="Q52" s="63"/>
      <c r="R52" s="63"/>
      <c r="S52" s="64"/>
    </row>
    <row r="53" spans="1:19" ht="24" customHeight="1">
      <c r="A53" s="141"/>
      <c r="B53" s="142"/>
      <c r="C53" s="134"/>
      <c r="D53" s="142"/>
      <c r="E53" s="144"/>
      <c r="F53" s="144"/>
      <c r="G53" s="145"/>
      <c r="H53" s="145"/>
      <c r="I53" s="148"/>
      <c r="J53" s="145"/>
      <c r="K53" s="134"/>
      <c r="L53" s="134"/>
      <c r="M53" s="139"/>
      <c r="N53" s="32" t="s">
        <v>21</v>
      </c>
      <c r="O53" s="63"/>
      <c r="P53" s="63"/>
      <c r="Q53" s="63"/>
      <c r="R53" s="63">
        <f>780-R51-R52</f>
        <v>780</v>
      </c>
      <c r="S53" s="64"/>
    </row>
    <row r="54" spans="1:19" ht="24" customHeight="1">
      <c r="A54" s="140">
        <v>15</v>
      </c>
      <c r="B54" s="142" t="s">
        <v>241</v>
      </c>
      <c r="C54" s="143" t="s">
        <v>228</v>
      </c>
      <c r="D54" s="142">
        <v>1959</v>
      </c>
      <c r="E54" s="144">
        <v>30</v>
      </c>
      <c r="F54" s="144" t="s">
        <v>71</v>
      </c>
      <c r="G54" s="145" t="s">
        <v>71</v>
      </c>
      <c r="H54" s="145" t="s">
        <v>71</v>
      </c>
      <c r="I54" s="146" t="s">
        <v>246</v>
      </c>
      <c r="J54" s="145">
        <v>2005</v>
      </c>
      <c r="K54" s="143" t="s">
        <v>264</v>
      </c>
      <c r="L54" s="143" t="s">
        <v>264</v>
      </c>
      <c r="M54" s="139">
        <f>SUM(O54:S56)</f>
        <v>720</v>
      </c>
      <c r="N54" s="32" t="s">
        <v>19</v>
      </c>
      <c r="O54" s="63"/>
      <c r="P54" s="63"/>
      <c r="Q54" s="63"/>
      <c r="R54" s="63"/>
      <c r="S54" s="64"/>
    </row>
    <row r="55" spans="1:19" ht="24" customHeight="1">
      <c r="A55" s="140"/>
      <c r="B55" s="142"/>
      <c r="C55" s="133"/>
      <c r="D55" s="142"/>
      <c r="E55" s="144"/>
      <c r="F55" s="144"/>
      <c r="G55" s="145"/>
      <c r="H55" s="145"/>
      <c r="I55" s="147"/>
      <c r="J55" s="145"/>
      <c r="K55" s="133"/>
      <c r="L55" s="133"/>
      <c r="M55" s="139"/>
      <c r="N55" s="32" t="s">
        <v>69</v>
      </c>
      <c r="O55" s="63"/>
      <c r="P55" s="63"/>
      <c r="Q55" s="63"/>
      <c r="R55" s="63"/>
      <c r="S55" s="64"/>
    </row>
    <row r="56" spans="1:19" ht="24" customHeight="1">
      <c r="A56" s="141"/>
      <c r="B56" s="142"/>
      <c r="C56" s="134"/>
      <c r="D56" s="142"/>
      <c r="E56" s="144"/>
      <c r="F56" s="144"/>
      <c r="G56" s="145"/>
      <c r="H56" s="145"/>
      <c r="I56" s="148"/>
      <c r="J56" s="145"/>
      <c r="K56" s="134"/>
      <c r="L56" s="134"/>
      <c r="M56" s="139"/>
      <c r="N56" s="32" t="s">
        <v>21</v>
      </c>
      <c r="O56" s="63"/>
      <c r="P56" s="63"/>
      <c r="Q56" s="63"/>
      <c r="R56" s="63">
        <f>720-R54-R55</f>
        <v>720</v>
      </c>
      <c r="S56" s="64"/>
    </row>
    <row r="57" spans="1:19" ht="24" customHeight="1">
      <c r="A57" s="140">
        <v>16</v>
      </c>
      <c r="B57" s="142" t="s">
        <v>242</v>
      </c>
      <c r="C57" s="143" t="s">
        <v>228</v>
      </c>
      <c r="D57" s="142">
        <v>1973</v>
      </c>
      <c r="E57" s="144">
        <v>30</v>
      </c>
      <c r="F57" s="144">
        <v>534.7</v>
      </c>
      <c r="G57" s="145">
        <v>0</v>
      </c>
      <c r="H57" s="145" t="s">
        <v>71</v>
      </c>
      <c r="I57" s="146" t="s">
        <v>246</v>
      </c>
      <c r="J57" s="146" t="s">
        <v>298</v>
      </c>
      <c r="K57" s="143" t="s">
        <v>265</v>
      </c>
      <c r="L57" s="143" t="s">
        <v>265</v>
      </c>
      <c r="M57" s="139">
        <f>SUM(O57:S59)</f>
        <v>18570</v>
      </c>
      <c r="N57" s="32" t="s">
        <v>19</v>
      </c>
      <c r="O57" s="63"/>
      <c r="P57" s="63"/>
      <c r="Q57" s="63"/>
      <c r="R57" s="63"/>
      <c r="S57" s="64"/>
    </row>
    <row r="58" spans="1:19" ht="24" customHeight="1">
      <c r="A58" s="140"/>
      <c r="B58" s="142"/>
      <c r="C58" s="133"/>
      <c r="D58" s="142"/>
      <c r="E58" s="144"/>
      <c r="F58" s="144"/>
      <c r="G58" s="145"/>
      <c r="H58" s="145"/>
      <c r="I58" s="147"/>
      <c r="J58" s="147"/>
      <c r="K58" s="133"/>
      <c r="L58" s="133"/>
      <c r="M58" s="139"/>
      <c r="N58" s="32" t="s">
        <v>69</v>
      </c>
      <c r="O58" s="63"/>
      <c r="P58" s="63"/>
      <c r="Q58" s="63"/>
      <c r="R58" s="63"/>
      <c r="S58" s="64"/>
    </row>
    <row r="59" spans="1:19" ht="24" customHeight="1">
      <c r="A59" s="141"/>
      <c r="B59" s="142"/>
      <c r="C59" s="134"/>
      <c r="D59" s="142"/>
      <c r="E59" s="144"/>
      <c r="F59" s="144"/>
      <c r="G59" s="145"/>
      <c r="H59" s="145"/>
      <c r="I59" s="148"/>
      <c r="J59" s="148"/>
      <c r="K59" s="134"/>
      <c r="L59" s="134"/>
      <c r="M59" s="139"/>
      <c r="N59" s="32" t="s">
        <v>21</v>
      </c>
      <c r="O59" s="63"/>
      <c r="P59" s="63"/>
      <c r="Q59" s="63"/>
      <c r="R59" s="63">
        <f>18570-2321*2</f>
        <v>13928</v>
      </c>
      <c r="S59" s="64">
        <f>2321*2</f>
        <v>4642</v>
      </c>
    </row>
    <row r="60" spans="1:19" ht="24" customHeight="1">
      <c r="A60" s="140">
        <v>17</v>
      </c>
      <c r="B60" s="142" t="s">
        <v>243</v>
      </c>
      <c r="C60" s="143" t="s">
        <v>228</v>
      </c>
      <c r="D60" s="142">
        <v>1965</v>
      </c>
      <c r="E60" s="144">
        <v>30</v>
      </c>
      <c r="F60" s="144">
        <v>9165.6</v>
      </c>
      <c r="G60" s="145">
        <v>8765.4</v>
      </c>
      <c r="H60" s="145">
        <v>2004</v>
      </c>
      <c r="I60" s="146" t="s">
        <v>246</v>
      </c>
      <c r="J60" s="146" t="s">
        <v>298</v>
      </c>
      <c r="K60" s="143" t="s">
        <v>266</v>
      </c>
      <c r="L60" s="143" t="s">
        <v>266</v>
      </c>
      <c r="M60" s="139">
        <f>SUM(O60:S62)</f>
        <v>15788</v>
      </c>
      <c r="N60" s="32" t="s">
        <v>19</v>
      </c>
      <c r="O60" s="63"/>
      <c r="P60" s="63"/>
      <c r="Q60" s="63"/>
      <c r="R60" s="63"/>
      <c r="S60" s="63"/>
    </row>
    <row r="61" spans="1:19" ht="24" customHeight="1">
      <c r="A61" s="140"/>
      <c r="B61" s="142"/>
      <c r="C61" s="133"/>
      <c r="D61" s="142"/>
      <c r="E61" s="144"/>
      <c r="F61" s="144"/>
      <c r="G61" s="145"/>
      <c r="H61" s="145"/>
      <c r="I61" s="147"/>
      <c r="J61" s="147"/>
      <c r="K61" s="133"/>
      <c r="L61" s="133"/>
      <c r="M61" s="139"/>
      <c r="N61" s="32" t="s">
        <v>69</v>
      </c>
      <c r="O61" s="63"/>
      <c r="P61" s="63"/>
      <c r="Q61" s="63"/>
      <c r="R61" s="63"/>
      <c r="S61" s="63"/>
    </row>
    <row r="62" spans="1:19" ht="24" customHeight="1">
      <c r="A62" s="141"/>
      <c r="B62" s="142"/>
      <c r="C62" s="134"/>
      <c r="D62" s="142"/>
      <c r="E62" s="144"/>
      <c r="F62" s="144"/>
      <c r="G62" s="145"/>
      <c r="H62" s="145"/>
      <c r="I62" s="148"/>
      <c r="J62" s="148"/>
      <c r="K62" s="134"/>
      <c r="L62" s="134"/>
      <c r="M62" s="139"/>
      <c r="N62" s="32" t="s">
        <v>21</v>
      </c>
      <c r="O62" s="63"/>
      <c r="P62" s="63"/>
      <c r="Q62" s="63"/>
      <c r="R62" s="63">
        <v>834</v>
      </c>
      <c r="S62" s="63">
        <f>12630-S60-S61-834+1579*2</f>
        <v>14954</v>
      </c>
    </row>
    <row r="63" spans="1:19" ht="24" customHeight="1">
      <c r="A63" s="140">
        <v>18</v>
      </c>
      <c r="B63" s="142" t="s">
        <v>248</v>
      </c>
      <c r="C63" s="143" t="s">
        <v>245</v>
      </c>
      <c r="D63" s="142">
        <v>1959</v>
      </c>
      <c r="E63" s="144">
        <v>30</v>
      </c>
      <c r="F63" s="144">
        <v>3353.5</v>
      </c>
      <c r="G63" s="145">
        <v>0</v>
      </c>
      <c r="H63" s="145" t="s">
        <v>71</v>
      </c>
      <c r="I63" s="146" t="s">
        <v>246</v>
      </c>
      <c r="J63" s="146" t="s">
        <v>298</v>
      </c>
      <c r="K63" s="143" t="s">
        <v>267</v>
      </c>
      <c r="L63" s="143" t="s">
        <v>267</v>
      </c>
      <c r="M63" s="139">
        <f>SUM(O63:S65)</f>
        <v>34652</v>
      </c>
      <c r="N63" s="32" t="s">
        <v>19</v>
      </c>
      <c r="O63" s="63"/>
      <c r="P63" s="63"/>
      <c r="Q63" s="63"/>
      <c r="R63" s="63"/>
      <c r="S63" s="63"/>
    </row>
    <row r="64" spans="1:19" ht="24" customHeight="1">
      <c r="A64" s="140"/>
      <c r="B64" s="142"/>
      <c r="C64" s="133"/>
      <c r="D64" s="142"/>
      <c r="E64" s="144"/>
      <c r="F64" s="144"/>
      <c r="G64" s="145"/>
      <c r="H64" s="145"/>
      <c r="I64" s="147"/>
      <c r="J64" s="147"/>
      <c r="K64" s="133"/>
      <c r="L64" s="133"/>
      <c r="M64" s="139"/>
      <c r="N64" s="32" t="s">
        <v>69</v>
      </c>
      <c r="O64" s="63"/>
      <c r="P64" s="63"/>
      <c r="Q64" s="63"/>
      <c r="R64" s="63"/>
      <c r="S64" s="63"/>
    </row>
    <row r="65" spans="1:19" ht="24" customHeight="1">
      <c r="A65" s="141"/>
      <c r="B65" s="142"/>
      <c r="C65" s="134"/>
      <c r="D65" s="142"/>
      <c r="E65" s="144"/>
      <c r="F65" s="144"/>
      <c r="G65" s="145"/>
      <c r="H65" s="145"/>
      <c r="I65" s="148"/>
      <c r="J65" s="148"/>
      <c r="K65" s="134"/>
      <c r="L65" s="134"/>
      <c r="M65" s="139"/>
      <c r="N65" s="32" t="s">
        <v>21</v>
      </c>
      <c r="O65" s="63"/>
      <c r="P65" s="63"/>
      <c r="Q65" s="63"/>
      <c r="R65" s="63">
        <v>22100</v>
      </c>
      <c r="S65" s="63">
        <f>32055-22000+2497</f>
        <v>12552</v>
      </c>
    </row>
    <row r="66" spans="1:19" ht="24" customHeight="1" hidden="1">
      <c r="A66" s="163">
        <v>19</v>
      </c>
      <c r="B66" s="146"/>
      <c r="C66" s="143"/>
      <c r="D66" s="146"/>
      <c r="E66" s="154"/>
      <c r="F66" s="154"/>
      <c r="G66" s="164"/>
      <c r="H66" s="164"/>
      <c r="I66" s="146"/>
      <c r="J66" s="164"/>
      <c r="K66" s="146"/>
      <c r="L66" s="146"/>
      <c r="M66" s="163">
        <f>SUM(O66:S68)</f>
        <v>0</v>
      </c>
      <c r="N66" s="32" t="s">
        <v>19</v>
      </c>
      <c r="O66" s="63"/>
      <c r="P66" s="63"/>
      <c r="Q66" s="63"/>
      <c r="R66" s="63"/>
      <c r="S66" s="63"/>
    </row>
    <row r="67" spans="1:19" ht="24" customHeight="1" hidden="1">
      <c r="A67" s="140"/>
      <c r="B67" s="147"/>
      <c r="C67" s="133"/>
      <c r="D67" s="147"/>
      <c r="E67" s="155"/>
      <c r="F67" s="155"/>
      <c r="G67" s="165"/>
      <c r="H67" s="165"/>
      <c r="I67" s="147"/>
      <c r="J67" s="165"/>
      <c r="K67" s="147"/>
      <c r="L67" s="147"/>
      <c r="M67" s="140"/>
      <c r="N67" s="32" t="s">
        <v>69</v>
      </c>
      <c r="O67" s="63"/>
      <c r="P67" s="63"/>
      <c r="Q67" s="63"/>
      <c r="R67" s="63"/>
      <c r="S67" s="63"/>
    </row>
    <row r="68" spans="1:19" ht="24" customHeight="1" hidden="1">
      <c r="A68" s="141"/>
      <c r="B68" s="148"/>
      <c r="C68" s="134"/>
      <c r="D68" s="148"/>
      <c r="E68" s="156"/>
      <c r="F68" s="156"/>
      <c r="G68" s="166"/>
      <c r="H68" s="166"/>
      <c r="I68" s="148"/>
      <c r="J68" s="166"/>
      <c r="K68" s="148"/>
      <c r="L68" s="148"/>
      <c r="M68" s="141"/>
      <c r="N68" s="32" t="s">
        <v>21</v>
      </c>
      <c r="O68" s="63"/>
      <c r="P68" s="63"/>
      <c r="Q68" s="63"/>
      <c r="R68" s="63"/>
      <c r="S68" s="63"/>
    </row>
    <row r="69" spans="1:19" ht="24" customHeight="1" hidden="1">
      <c r="A69" s="163">
        <v>20</v>
      </c>
      <c r="B69" s="146"/>
      <c r="C69" s="143"/>
      <c r="D69" s="146"/>
      <c r="E69" s="154"/>
      <c r="F69" s="154"/>
      <c r="G69" s="164"/>
      <c r="H69" s="164"/>
      <c r="I69" s="146"/>
      <c r="J69" s="164"/>
      <c r="K69" s="146"/>
      <c r="L69" s="146"/>
      <c r="M69" s="163">
        <f>SUM(O69:S71)</f>
        <v>0</v>
      </c>
      <c r="N69" s="32" t="s">
        <v>19</v>
      </c>
      <c r="O69" s="63"/>
      <c r="P69" s="63"/>
      <c r="Q69" s="63"/>
      <c r="R69" s="63"/>
      <c r="S69" s="63"/>
    </row>
    <row r="70" spans="1:19" ht="24" customHeight="1" hidden="1">
      <c r="A70" s="140"/>
      <c r="B70" s="147"/>
      <c r="C70" s="133"/>
      <c r="D70" s="147"/>
      <c r="E70" s="155"/>
      <c r="F70" s="155"/>
      <c r="G70" s="165"/>
      <c r="H70" s="165"/>
      <c r="I70" s="147"/>
      <c r="J70" s="165"/>
      <c r="K70" s="147"/>
      <c r="L70" s="147"/>
      <c r="M70" s="140"/>
      <c r="N70" s="32" t="s">
        <v>69</v>
      </c>
      <c r="O70" s="63"/>
      <c r="P70" s="63"/>
      <c r="Q70" s="63"/>
      <c r="R70" s="63"/>
      <c r="S70" s="63"/>
    </row>
    <row r="71" spans="1:19" ht="24" customHeight="1" hidden="1">
      <c r="A71" s="141"/>
      <c r="B71" s="148"/>
      <c r="C71" s="134"/>
      <c r="D71" s="148"/>
      <c r="E71" s="156"/>
      <c r="F71" s="156"/>
      <c r="G71" s="166"/>
      <c r="H71" s="166"/>
      <c r="I71" s="148"/>
      <c r="J71" s="166"/>
      <c r="K71" s="148"/>
      <c r="L71" s="148"/>
      <c r="M71" s="141"/>
      <c r="N71" s="32" t="s">
        <v>21</v>
      </c>
      <c r="O71" s="63"/>
      <c r="P71" s="63"/>
      <c r="Q71" s="63"/>
      <c r="R71" s="63"/>
      <c r="S71" s="63"/>
    </row>
    <row r="72" spans="1:19" ht="24" customHeight="1" hidden="1">
      <c r="A72" s="163">
        <v>21</v>
      </c>
      <c r="B72" s="146"/>
      <c r="C72" s="143"/>
      <c r="D72" s="146"/>
      <c r="E72" s="154"/>
      <c r="F72" s="154"/>
      <c r="G72" s="164"/>
      <c r="H72" s="164"/>
      <c r="I72" s="146"/>
      <c r="J72" s="164"/>
      <c r="K72" s="146"/>
      <c r="L72" s="146"/>
      <c r="M72" s="163">
        <f>SUM(O72:S74)</f>
        <v>0</v>
      </c>
      <c r="N72" s="32" t="s">
        <v>19</v>
      </c>
      <c r="O72" s="63"/>
      <c r="P72" s="63"/>
      <c r="Q72" s="63"/>
      <c r="R72" s="63"/>
      <c r="S72" s="63"/>
    </row>
    <row r="73" spans="1:19" ht="24" customHeight="1" hidden="1">
      <c r="A73" s="140"/>
      <c r="B73" s="147"/>
      <c r="C73" s="133"/>
      <c r="D73" s="147"/>
      <c r="E73" s="155"/>
      <c r="F73" s="155"/>
      <c r="G73" s="165"/>
      <c r="H73" s="165"/>
      <c r="I73" s="147"/>
      <c r="J73" s="165"/>
      <c r="K73" s="147"/>
      <c r="L73" s="147"/>
      <c r="M73" s="140"/>
      <c r="N73" s="32" t="s">
        <v>69</v>
      </c>
      <c r="O73" s="63"/>
      <c r="P73" s="63"/>
      <c r="Q73" s="63"/>
      <c r="R73" s="63"/>
      <c r="S73" s="63"/>
    </row>
    <row r="74" spans="1:19" ht="24" customHeight="1" hidden="1">
      <c r="A74" s="141"/>
      <c r="B74" s="148"/>
      <c r="C74" s="134"/>
      <c r="D74" s="148"/>
      <c r="E74" s="156"/>
      <c r="F74" s="156"/>
      <c r="G74" s="166"/>
      <c r="H74" s="166"/>
      <c r="I74" s="148"/>
      <c r="J74" s="166"/>
      <c r="K74" s="148"/>
      <c r="L74" s="148"/>
      <c r="M74" s="141"/>
      <c r="N74" s="32" t="s">
        <v>21</v>
      </c>
      <c r="O74" s="63"/>
      <c r="P74" s="63"/>
      <c r="Q74" s="63"/>
      <c r="R74" s="63"/>
      <c r="S74" s="63"/>
    </row>
    <row r="75" spans="1:19" ht="24" customHeight="1" hidden="1">
      <c r="A75" s="163">
        <v>22</v>
      </c>
      <c r="B75" s="146"/>
      <c r="C75" s="143"/>
      <c r="D75" s="146"/>
      <c r="E75" s="154"/>
      <c r="F75" s="154"/>
      <c r="G75" s="164"/>
      <c r="H75" s="164"/>
      <c r="I75" s="146"/>
      <c r="J75" s="164"/>
      <c r="K75" s="146"/>
      <c r="L75" s="146"/>
      <c r="M75" s="163">
        <f>SUM(O75:S77)</f>
        <v>0</v>
      </c>
      <c r="N75" s="32" t="s">
        <v>19</v>
      </c>
      <c r="O75" s="63"/>
      <c r="P75" s="63"/>
      <c r="Q75" s="63"/>
      <c r="R75" s="63"/>
      <c r="S75" s="63"/>
    </row>
    <row r="76" spans="1:19" ht="24" customHeight="1" hidden="1">
      <c r="A76" s="140"/>
      <c r="B76" s="147"/>
      <c r="C76" s="133"/>
      <c r="D76" s="147"/>
      <c r="E76" s="155"/>
      <c r="F76" s="155"/>
      <c r="G76" s="165"/>
      <c r="H76" s="165"/>
      <c r="I76" s="147"/>
      <c r="J76" s="165"/>
      <c r="K76" s="147"/>
      <c r="L76" s="147"/>
      <c r="M76" s="140"/>
      <c r="N76" s="32" t="s">
        <v>69</v>
      </c>
      <c r="O76" s="63"/>
      <c r="P76" s="63"/>
      <c r="Q76" s="63"/>
      <c r="R76" s="63"/>
      <c r="S76" s="63"/>
    </row>
    <row r="77" spans="1:19" ht="24" customHeight="1" hidden="1">
      <c r="A77" s="141"/>
      <c r="B77" s="148"/>
      <c r="C77" s="134"/>
      <c r="D77" s="148"/>
      <c r="E77" s="156"/>
      <c r="F77" s="156"/>
      <c r="G77" s="166"/>
      <c r="H77" s="166"/>
      <c r="I77" s="148"/>
      <c r="J77" s="166"/>
      <c r="K77" s="148"/>
      <c r="L77" s="148"/>
      <c r="M77" s="141"/>
      <c r="N77" s="32" t="s">
        <v>21</v>
      </c>
      <c r="O77" s="63"/>
      <c r="P77" s="63"/>
      <c r="Q77" s="63"/>
      <c r="R77" s="63"/>
      <c r="S77" s="63"/>
    </row>
    <row r="78" spans="1:19" ht="24" customHeight="1" hidden="1">
      <c r="A78" s="163">
        <v>23</v>
      </c>
      <c r="B78" s="146"/>
      <c r="C78" s="143"/>
      <c r="D78" s="146"/>
      <c r="E78" s="154"/>
      <c r="F78" s="154"/>
      <c r="G78" s="164"/>
      <c r="H78" s="164"/>
      <c r="I78" s="146"/>
      <c r="J78" s="164"/>
      <c r="K78" s="146"/>
      <c r="L78" s="146"/>
      <c r="M78" s="163">
        <f>SUM(O78:S80)</f>
        <v>0</v>
      </c>
      <c r="N78" s="32" t="s">
        <v>19</v>
      </c>
      <c r="O78" s="63"/>
      <c r="P78" s="63"/>
      <c r="Q78" s="63"/>
      <c r="R78" s="63"/>
      <c r="S78" s="63"/>
    </row>
    <row r="79" spans="1:19" ht="24" customHeight="1" hidden="1">
      <c r="A79" s="140"/>
      <c r="B79" s="147"/>
      <c r="C79" s="133"/>
      <c r="D79" s="147"/>
      <c r="E79" s="155"/>
      <c r="F79" s="155"/>
      <c r="G79" s="165"/>
      <c r="H79" s="165"/>
      <c r="I79" s="147"/>
      <c r="J79" s="165"/>
      <c r="K79" s="147"/>
      <c r="L79" s="147"/>
      <c r="M79" s="140"/>
      <c r="N79" s="32" t="s">
        <v>69</v>
      </c>
      <c r="O79" s="63"/>
      <c r="P79" s="63"/>
      <c r="Q79" s="63"/>
      <c r="R79" s="63"/>
      <c r="S79" s="63"/>
    </row>
    <row r="80" spans="1:19" ht="24" customHeight="1" hidden="1">
      <c r="A80" s="141"/>
      <c r="B80" s="148"/>
      <c r="C80" s="134"/>
      <c r="D80" s="148"/>
      <c r="E80" s="156"/>
      <c r="F80" s="156"/>
      <c r="G80" s="166"/>
      <c r="H80" s="166"/>
      <c r="I80" s="148"/>
      <c r="J80" s="166"/>
      <c r="K80" s="148"/>
      <c r="L80" s="148"/>
      <c r="M80" s="141"/>
      <c r="N80" s="32" t="s">
        <v>21</v>
      </c>
      <c r="O80" s="63"/>
      <c r="P80" s="63"/>
      <c r="Q80" s="63"/>
      <c r="R80" s="63"/>
      <c r="S80" s="63"/>
    </row>
    <row r="81" spans="1:19" ht="24" customHeight="1" hidden="1">
      <c r="A81" s="163">
        <v>24</v>
      </c>
      <c r="B81" s="146"/>
      <c r="C81" s="143"/>
      <c r="D81" s="146"/>
      <c r="E81" s="154"/>
      <c r="F81" s="154"/>
      <c r="G81" s="164"/>
      <c r="H81" s="164"/>
      <c r="I81" s="146"/>
      <c r="J81" s="164"/>
      <c r="K81" s="146"/>
      <c r="L81" s="146"/>
      <c r="M81" s="163">
        <f>SUM(O81:S83)</f>
        <v>0</v>
      </c>
      <c r="N81" s="32" t="s">
        <v>19</v>
      </c>
      <c r="O81" s="63"/>
      <c r="P81" s="63"/>
      <c r="Q81" s="63"/>
      <c r="R81" s="63"/>
      <c r="S81" s="63"/>
    </row>
    <row r="82" spans="1:19" ht="24" customHeight="1" hidden="1">
      <c r="A82" s="140"/>
      <c r="B82" s="147"/>
      <c r="C82" s="133"/>
      <c r="D82" s="147"/>
      <c r="E82" s="155"/>
      <c r="F82" s="155"/>
      <c r="G82" s="165"/>
      <c r="H82" s="165"/>
      <c r="I82" s="147"/>
      <c r="J82" s="165"/>
      <c r="K82" s="147"/>
      <c r="L82" s="147"/>
      <c r="M82" s="140"/>
      <c r="N82" s="32" t="s">
        <v>69</v>
      </c>
      <c r="O82" s="63"/>
      <c r="P82" s="63"/>
      <c r="Q82" s="63"/>
      <c r="R82" s="63"/>
      <c r="S82" s="63"/>
    </row>
    <row r="83" spans="1:19" ht="24" customHeight="1" hidden="1">
      <c r="A83" s="141"/>
      <c r="B83" s="148"/>
      <c r="C83" s="134"/>
      <c r="D83" s="148"/>
      <c r="E83" s="156"/>
      <c r="F83" s="156"/>
      <c r="G83" s="166"/>
      <c r="H83" s="166"/>
      <c r="I83" s="148"/>
      <c r="J83" s="166"/>
      <c r="K83" s="148"/>
      <c r="L83" s="148"/>
      <c r="M83" s="141"/>
      <c r="N83" s="32" t="s">
        <v>21</v>
      </c>
      <c r="O83" s="63"/>
      <c r="P83" s="63"/>
      <c r="Q83" s="63"/>
      <c r="R83" s="63"/>
      <c r="S83" s="63"/>
    </row>
    <row r="84" spans="1:19" ht="24" customHeight="1" hidden="1">
      <c r="A84" s="163">
        <v>25</v>
      </c>
      <c r="B84" s="146"/>
      <c r="C84" s="143"/>
      <c r="D84" s="146"/>
      <c r="E84" s="154"/>
      <c r="F84" s="154"/>
      <c r="G84" s="164"/>
      <c r="H84" s="164"/>
      <c r="I84" s="146"/>
      <c r="J84" s="164"/>
      <c r="K84" s="146"/>
      <c r="L84" s="146"/>
      <c r="M84" s="163">
        <f>SUM(O84:S86)</f>
        <v>0</v>
      </c>
      <c r="N84" s="32" t="s">
        <v>19</v>
      </c>
      <c r="O84" s="63"/>
      <c r="P84" s="63"/>
      <c r="Q84" s="63"/>
      <c r="R84" s="63"/>
      <c r="S84" s="63"/>
    </row>
    <row r="85" spans="1:19" ht="24" customHeight="1" hidden="1">
      <c r="A85" s="140"/>
      <c r="B85" s="147"/>
      <c r="C85" s="133"/>
      <c r="D85" s="147"/>
      <c r="E85" s="155"/>
      <c r="F85" s="155"/>
      <c r="G85" s="165"/>
      <c r="H85" s="165"/>
      <c r="I85" s="147"/>
      <c r="J85" s="165"/>
      <c r="K85" s="147"/>
      <c r="L85" s="147"/>
      <c r="M85" s="140"/>
      <c r="N85" s="32" t="s">
        <v>69</v>
      </c>
      <c r="O85" s="63"/>
      <c r="P85" s="63"/>
      <c r="Q85" s="63"/>
      <c r="R85" s="63"/>
      <c r="S85" s="63"/>
    </row>
    <row r="86" spans="1:19" ht="24" customHeight="1" hidden="1">
      <c r="A86" s="141"/>
      <c r="B86" s="148"/>
      <c r="C86" s="134"/>
      <c r="D86" s="148"/>
      <c r="E86" s="156"/>
      <c r="F86" s="156"/>
      <c r="G86" s="166"/>
      <c r="H86" s="166"/>
      <c r="I86" s="148"/>
      <c r="J86" s="166"/>
      <c r="K86" s="148"/>
      <c r="L86" s="148"/>
      <c r="M86" s="141"/>
      <c r="N86" s="32" t="s">
        <v>21</v>
      </c>
      <c r="O86" s="63"/>
      <c r="P86" s="63"/>
      <c r="Q86" s="63"/>
      <c r="R86" s="63"/>
      <c r="S86" s="63"/>
    </row>
    <row r="87" spans="1:19" ht="24" customHeight="1" hidden="1">
      <c r="A87" s="163">
        <v>26</v>
      </c>
      <c r="B87" s="146"/>
      <c r="C87" s="143"/>
      <c r="D87" s="146"/>
      <c r="E87" s="154"/>
      <c r="F87" s="154"/>
      <c r="G87" s="164"/>
      <c r="H87" s="164"/>
      <c r="I87" s="146"/>
      <c r="J87" s="164"/>
      <c r="K87" s="146"/>
      <c r="L87" s="146"/>
      <c r="M87" s="163">
        <f>SUM(O87:S89)</f>
        <v>0</v>
      </c>
      <c r="N87" s="32" t="s">
        <v>19</v>
      </c>
      <c r="O87" s="63"/>
      <c r="P87" s="63"/>
      <c r="Q87" s="63"/>
      <c r="R87" s="63"/>
      <c r="S87" s="63"/>
    </row>
    <row r="88" spans="1:19" ht="24" customHeight="1" hidden="1">
      <c r="A88" s="140"/>
      <c r="B88" s="147"/>
      <c r="C88" s="133"/>
      <c r="D88" s="147"/>
      <c r="E88" s="155"/>
      <c r="F88" s="155"/>
      <c r="G88" s="165"/>
      <c r="H88" s="165"/>
      <c r="I88" s="147"/>
      <c r="J88" s="165"/>
      <c r="K88" s="147"/>
      <c r="L88" s="147"/>
      <c r="M88" s="140"/>
      <c r="N88" s="32" t="s">
        <v>69</v>
      </c>
      <c r="O88" s="63"/>
      <c r="P88" s="63"/>
      <c r="Q88" s="63"/>
      <c r="R88" s="63"/>
      <c r="S88" s="63"/>
    </row>
    <row r="89" spans="1:19" ht="24" customHeight="1" hidden="1">
      <c r="A89" s="141"/>
      <c r="B89" s="148"/>
      <c r="C89" s="134"/>
      <c r="D89" s="148"/>
      <c r="E89" s="156"/>
      <c r="F89" s="156"/>
      <c r="G89" s="166"/>
      <c r="H89" s="166"/>
      <c r="I89" s="148"/>
      <c r="J89" s="166"/>
      <c r="K89" s="148"/>
      <c r="L89" s="148"/>
      <c r="M89" s="141"/>
      <c r="N89" s="32" t="s">
        <v>21</v>
      </c>
      <c r="O89" s="63"/>
      <c r="P89" s="63"/>
      <c r="Q89" s="63"/>
      <c r="R89" s="63"/>
      <c r="S89" s="63"/>
    </row>
    <row r="90" spans="1:19" ht="24" customHeight="1" hidden="1">
      <c r="A90" s="163">
        <v>27</v>
      </c>
      <c r="B90" s="146"/>
      <c r="C90" s="143"/>
      <c r="D90" s="146"/>
      <c r="E90" s="154"/>
      <c r="F90" s="154"/>
      <c r="G90" s="164"/>
      <c r="H90" s="164"/>
      <c r="I90" s="146"/>
      <c r="J90" s="164"/>
      <c r="K90" s="146"/>
      <c r="L90" s="146"/>
      <c r="M90" s="163">
        <f>SUM(O90:S92)</f>
        <v>0</v>
      </c>
      <c r="N90" s="32" t="s">
        <v>19</v>
      </c>
      <c r="O90" s="63"/>
      <c r="P90" s="63"/>
      <c r="Q90" s="63"/>
      <c r="R90" s="63"/>
      <c r="S90" s="63"/>
    </row>
    <row r="91" spans="1:19" ht="24" customHeight="1" hidden="1">
      <c r="A91" s="140"/>
      <c r="B91" s="147"/>
      <c r="C91" s="133"/>
      <c r="D91" s="147"/>
      <c r="E91" s="155"/>
      <c r="F91" s="155"/>
      <c r="G91" s="165"/>
      <c r="H91" s="165"/>
      <c r="I91" s="147"/>
      <c r="J91" s="165"/>
      <c r="K91" s="147"/>
      <c r="L91" s="147"/>
      <c r="M91" s="140"/>
      <c r="N91" s="32" t="s">
        <v>69</v>
      </c>
      <c r="O91" s="63"/>
      <c r="P91" s="63"/>
      <c r="Q91" s="63"/>
      <c r="R91" s="63"/>
      <c r="S91" s="63"/>
    </row>
    <row r="92" spans="1:19" ht="24" customHeight="1" hidden="1">
      <c r="A92" s="141"/>
      <c r="B92" s="148"/>
      <c r="C92" s="134"/>
      <c r="D92" s="148"/>
      <c r="E92" s="156"/>
      <c r="F92" s="156"/>
      <c r="G92" s="166"/>
      <c r="H92" s="166"/>
      <c r="I92" s="148"/>
      <c r="J92" s="166"/>
      <c r="K92" s="148"/>
      <c r="L92" s="148"/>
      <c r="M92" s="141"/>
      <c r="N92" s="32" t="s">
        <v>21</v>
      </c>
      <c r="O92" s="63"/>
      <c r="P92" s="63"/>
      <c r="Q92" s="63"/>
      <c r="R92" s="63"/>
      <c r="S92" s="63"/>
    </row>
    <row r="93" spans="1:19" ht="24" customHeight="1" hidden="1">
      <c r="A93" s="163">
        <v>28</v>
      </c>
      <c r="B93" s="146"/>
      <c r="C93" s="143"/>
      <c r="D93" s="146"/>
      <c r="E93" s="154"/>
      <c r="F93" s="154"/>
      <c r="G93" s="164"/>
      <c r="H93" s="164"/>
      <c r="I93" s="146"/>
      <c r="J93" s="164"/>
      <c r="K93" s="146"/>
      <c r="L93" s="146"/>
      <c r="M93" s="163">
        <f>SUM(O93:S95)</f>
        <v>0</v>
      </c>
      <c r="N93" s="32" t="s">
        <v>19</v>
      </c>
      <c r="O93" s="63"/>
      <c r="P93" s="63"/>
      <c r="Q93" s="63"/>
      <c r="R93" s="63"/>
      <c r="S93" s="63"/>
    </row>
    <row r="94" spans="1:19" ht="24" customHeight="1" hidden="1">
      <c r="A94" s="140"/>
      <c r="B94" s="147"/>
      <c r="C94" s="133"/>
      <c r="D94" s="147"/>
      <c r="E94" s="155"/>
      <c r="F94" s="155"/>
      <c r="G94" s="165"/>
      <c r="H94" s="165"/>
      <c r="I94" s="147"/>
      <c r="J94" s="165"/>
      <c r="K94" s="147"/>
      <c r="L94" s="147"/>
      <c r="M94" s="140"/>
      <c r="N94" s="32" t="s">
        <v>69</v>
      </c>
      <c r="O94" s="63"/>
      <c r="P94" s="63"/>
      <c r="Q94" s="63"/>
      <c r="R94" s="63"/>
      <c r="S94" s="63"/>
    </row>
    <row r="95" spans="1:19" ht="24" customHeight="1" hidden="1">
      <c r="A95" s="141"/>
      <c r="B95" s="148"/>
      <c r="C95" s="134"/>
      <c r="D95" s="148"/>
      <c r="E95" s="156"/>
      <c r="F95" s="156"/>
      <c r="G95" s="166"/>
      <c r="H95" s="166"/>
      <c r="I95" s="148"/>
      <c r="J95" s="166"/>
      <c r="K95" s="148"/>
      <c r="L95" s="148"/>
      <c r="M95" s="141"/>
      <c r="N95" s="32" t="s">
        <v>21</v>
      </c>
      <c r="O95" s="63"/>
      <c r="P95" s="63"/>
      <c r="Q95" s="63"/>
      <c r="R95" s="63"/>
      <c r="S95" s="63"/>
    </row>
    <row r="96" spans="1:19" ht="24" customHeight="1" hidden="1">
      <c r="A96" s="163">
        <v>29</v>
      </c>
      <c r="B96" s="146"/>
      <c r="C96" s="143"/>
      <c r="D96" s="146"/>
      <c r="E96" s="154"/>
      <c r="F96" s="154"/>
      <c r="G96" s="164"/>
      <c r="H96" s="164"/>
      <c r="I96" s="146"/>
      <c r="J96" s="164"/>
      <c r="K96" s="146"/>
      <c r="L96" s="146"/>
      <c r="M96" s="163">
        <f>SUM(O96:S98)</f>
        <v>0</v>
      </c>
      <c r="N96" s="32" t="s">
        <v>19</v>
      </c>
      <c r="O96" s="63"/>
      <c r="P96" s="63"/>
      <c r="Q96" s="63"/>
      <c r="R96" s="63"/>
      <c r="S96" s="63"/>
    </row>
    <row r="97" spans="1:19" ht="24" customHeight="1" hidden="1">
      <c r="A97" s="140"/>
      <c r="B97" s="147"/>
      <c r="C97" s="133"/>
      <c r="D97" s="147"/>
      <c r="E97" s="155"/>
      <c r="F97" s="155"/>
      <c r="G97" s="165"/>
      <c r="H97" s="165"/>
      <c r="I97" s="147"/>
      <c r="J97" s="165"/>
      <c r="K97" s="147"/>
      <c r="L97" s="147"/>
      <c r="M97" s="140"/>
      <c r="N97" s="32" t="s">
        <v>69</v>
      </c>
      <c r="O97" s="63"/>
      <c r="P97" s="63"/>
      <c r="Q97" s="63"/>
      <c r="R97" s="63"/>
      <c r="S97" s="63"/>
    </row>
    <row r="98" spans="1:19" ht="24" customHeight="1" hidden="1">
      <c r="A98" s="141"/>
      <c r="B98" s="148"/>
      <c r="C98" s="134"/>
      <c r="D98" s="148"/>
      <c r="E98" s="156"/>
      <c r="F98" s="156"/>
      <c r="G98" s="166"/>
      <c r="H98" s="166"/>
      <c r="I98" s="148"/>
      <c r="J98" s="166"/>
      <c r="K98" s="148"/>
      <c r="L98" s="148"/>
      <c r="M98" s="141"/>
      <c r="N98" s="32" t="s">
        <v>21</v>
      </c>
      <c r="O98" s="63"/>
      <c r="P98" s="63"/>
      <c r="Q98" s="63"/>
      <c r="R98" s="63"/>
      <c r="S98" s="63"/>
    </row>
    <row r="99" spans="1:19" ht="24" customHeight="1" hidden="1">
      <c r="A99" s="163">
        <v>30</v>
      </c>
      <c r="B99" s="146"/>
      <c r="C99" s="143"/>
      <c r="D99" s="146"/>
      <c r="E99" s="154"/>
      <c r="F99" s="154"/>
      <c r="G99" s="164"/>
      <c r="H99" s="164"/>
      <c r="I99" s="146"/>
      <c r="J99" s="164"/>
      <c r="K99" s="146"/>
      <c r="L99" s="146"/>
      <c r="M99" s="163">
        <f>SUM(O99:S101)</f>
        <v>0</v>
      </c>
      <c r="N99" s="32" t="s">
        <v>19</v>
      </c>
      <c r="O99" s="63"/>
      <c r="P99" s="63"/>
      <c r="Q99" s="63"/>
      <c r="R99" s="63"/>
      <c r="S99" s="63"/>
    </row>
    <row r="100" spans="1:19" ht="24" customHeight="1" hidden="1">
      <c r="A100" s="140"/>
      <c r="B100" s="147"/>
      <c r="C100" s="133"/>
      <c r="D100" s="147"/>
      <c r="E100" s="155"/>
      <c r="F100" s="155"/>
      <c r="G100" s="165"/>
      <c r="H100" s="165"/>
      <c r="I100" s="147"/>
      <c r="J100" s="165"/>
      <c r="K100" s="147"/>
      <c r="L100" s="147"/>
      <c r="M100" s="140"/>
      <c r="N100" s="32" t="s">
        <v>69</v>
      </c>
      <c r="O100" s="63"/>
      <c r="P100" s="63"/>
      <c r="Q100" s="63"/>
      <c r="R100" s="63"/>
      <c r="S100" s="63"/>
    </row>
    <row r="101" spans="1:19" ht="24" customHeight="1" hidden="1">
      <c r="A101" s="141"/>
      <c r="B101" s="148"/>
      <c r="C101" s="134"/>
      <c r="D101" s="148"/>
      <c r="E101" s="156"/>
      <c r="F101" s="156"/>
      <c r="G101" s="166"/>
      <c r="H101" s="166"/>
      <c r="I101" s="148"/>
      <c r="J101" s="166"/>
      <c r="K101" s="148"/>
      <c r="L101" s="148"/>
      <c r="M101" s="141"/>
      <c r="N101" s="32" t="s">
        <v>21</v>
      </c>
      <c r="O101" s="63"/>
      <c r="P101" s="63"/>
      <c r="Q101" s="63"/>
      <c r="R101" s="63"/>
      <c r="S101" s="63"/>
    </row>
    <row r="102" spans="1:19" ht="24" customHeight="1" hidden="1">
      <c r="A102" s="163">
        <v>31</v>
      </c>
      <c r="B102" s="146"/>
      <c r="C102" s="143"/>
      <c r="D102" s="146"/>
      <c r="E102" s="154"/>
      <c r="F102" s="154"/>
      <c r="G102" s="164"/>
      <c r="H102" s="164"/>
      <c r="I102" s="146"/>
      <c r="J102" s="164"/>
      <c r="K102" s="146"/>
      <c r="L102" s="146"/>
      <c r="M102" s="163">
        <f>SUM(O102:S104)</f>
        <v>0</v>
      </c>
      <c r="N102" s="32" t="s">
        <v>19</v>
      </c>
      <c r="O102" s="63"/>
      <c r="P102" s="63"/>
      <c r="Q102" s="63"/>
      <c r="R102" s="63"/>
      <c r="S102" s="63"/>
    </row>
    <row r="103" spans="1:19" ht="24" customHeight="1" hidden="1">
      <c r="A103" s="140"/>
      <c r="B103" s="147"/>
      <c r="C103" s="133"/>
      <c r="D103" s="147"/>
      <c r="E103" s="155"/>
      <c r="F103" s="155"/>
      <c r="G103" s="165"/>
      <c r="H103" s="165"/>
      <c r="I103" s="147"/>
      <c r="J103" s="165"/>
      <c r="K103" s="147"/>
      <c r="L103" s="147"/>
      <c r="M103" s="140"/>
      <c r="N103" s="32" t="s">
        <v>69</v>
      </c>
      <c r="O103" s="63"/>
      <c r="P103" s="63"/>
      <c r="Q103" s="63"/>
      <c r="R103" s="63"/>
      <c r="S103" s="63"/>
    </row>
    <row r="104" spans="1:19" ht="24" customHeight="1" hidden="1">
      <c r="A104" s="141"/>
      <c r="B104" s="148"/>
      <c r="C104" s="134"/>
      <c r="D104" s="148"/>
      <c r="E104" s="156"/>
      <c r="F104" s="156"/>
      <c r="G104" s="166"/>
      <c r="H104" s="166"/>
      <c r="I104" s="148"/>
      <c r="J104" s="166"/>
      <c r="K104" s="148"/>
      <c r="L104" s="148"/>
      <c r="M104" s="141"/>
      <c r="N104" s="32" t="s">
        <v>21</v>
      </c>
      <c r="O104" s="63"/>
      <c r="P104" s="63"/>
      <c r="Q104" s="63"/>
      <c r="R104" s="63"/>
      <c r="S104" s="63"/>
    </row>
    <row r="105" spans="1:19" ht="30" customHeight="1" hidden="1">
      <c r="A105" s="163">
        <v>32</v>
      </c>
      <c r="B105" s="146"/>
      <c r="C105" s="143"/>
      <c r="D105" s="146"/>
      <c r="E105" s="154"/>
      <c r="F105" s="154"/>
      <c r="G105" s="164"/>
      <c r="H105" s="164"/>
      <c r="I105" s="146"/>
      <c r="J105" s="164"/>
      <c r="K105" s="146"/>
      <c r="L105" s="146"/>
      <c r="M105" s="163">
        <f>SUM(O105:S107)</f>
        <v>0</v>
      </c>
      <c r="N105" s="32" t="s">
        <v>19</v>
      </c>
      <c r="O105" s="63"/>
      <c r="P105" s="63"/>
      <c r="Q105" s="63"/>
      <c r="R105" s="63"/>
      <c r="S105" s="63"/>
    </row>
    <row r="106" spans="1:19" ht="30" customHeight="1" hidden="1">
      <c r="A106" s="140"/>
      <c r="B106" s="147"/>
      <c r="C106" s="133"/>
      <c r="D106" s="147"/>
      <c r="E106" s="155"/>
      <c r="F106" s="155"/>
      <c r="G106" s="165"/>
      <c r="H106" s="165"/>
      <c r="I106" s="147"/>
      <c r="J106" s="165"/>
      <c r="K106" s="147"/>
      <c r="L106" s="147"/>
      <c r="M106" s="140"/>
      <c r="N106" s="32" t="s">
        <v>69</v>
      </c>
      <c r="O106" s="63"/>
      <c r="P106" s="63"/>
      <c r="Q106" s="63"/>
      <c r="R106" s="63"/>
      <c r="S106" s="63"/>
    </row>
    <row r="107" spans="1:19" ht="30" customHeight="1" hidden="1">
      <c r="A107" s="141"/>
      <c r="B107" s="148"/>
      <c r="C107" s="134"/>
      <c r="D107" s="148"/>
      <c r="E107" s="156"/>
      <c r="F107" s="156"/>
      <c r="G107" s="166"/>
      <c r="H107" s="166"/>
      <c r="I107" s="148"/>
      <c r="J107" s="166"/>
      <c r="K107" s="148"/>
      <c r="L107" s="148"/>
      <c r="M107" s="141"/>
      <c r="N107" s="32" t="s">
        <v>21</v>
      </c>
      <c r="O107" s="63"/>
      <c r="P107" s="63"/>
      <c r="Q107" s="63"/>
      <c r="R107" s="63"/>
      <c r="S107" s="63"/>
    </row>
    <row r="108" spans="1:19" ht="24" customHeight="1" hidden="1">
      <c r="A108" s="163">
        <v>33</v>
      </c>
      <c r="B108" s="146"/>
      <c r="C108" s="143"/>
      <c r="D108" s="146"/>
      <c r="E108" s="154"/>
      <c r="F108" s="154"/>
      <c r="G108" s="164"/>
      <c r="H108" s="164"/>
      <c r="I108" s="146"/>
      <c r="J108" s="164"/>
      <c r="K108" s="146"/>
      <c r="L108" s="146"/>
      <c r="M108" s="163">
        <f>SUM(O108:S110)</f>
        <v>0</v>
      </c>
      <c r="N108" s="32" t="s">
        <v>19</v>
      </c>
      <c r="O108" s="63"/>
      <c r="P108" s="63"/>
      <c r="Q108" s="63"/>
      <c r="R108" s="63"/>
      <c r="S108" s="63"/>
    </row>
    <row r="109" spans="1:19" ht="24" customHeight="1" hidden="1">
      <c r="A109" s="140"/>
      <c r="B109" s="147"/>
      <c r="C109" s="133"/>
      <c r="D109" s="147"/>
      <c r="E109" s="155"/>
      <c r="F109" s="155"/>
      <c r="G109" s="165"/>
      <c r="H109" s="165"/>
      <c r="I109" s="147"/>
      <c r="J109" s="165"/>
      <c r="K109" s="147"/>
      <c r="L109" s="147"/>
      <c r="M109" s="140"/>
      <c r="N109" s="32" t="s">
        <v>69</v>
      </c>
      <c r="O109" s="63"/>
      <c r="P109" s="63"/>
      <c r="Q109" s="63"/>
      <c r="R109" s="63"/>
      <c r="S109" s="63"/>
    </row>
    <row r="110" spans="1:19" ht="24" customHeight="1" hidden="1">
      <c r="A110" s="141"/>
      <c r="B110" s="148"/>
      <c r="C110" s="134"/>
      <c r="D110" s="148"/>
      <c r="E110" s="156"/>
      <c r="F110" s="156"/>
      <c r="G110" s="166"/>
      <c r="H110" s="166"/>
      <c r="I110" s="148"/>
      <c r="J110" s="166"/>
      <c r="K110" s="148"/>
      <c r="L110" s="148"/>
      <c r="M110" s="141"/>
      <c r="N110" s="32" t="s">
        <v>21</v>
      </c>
      <c r="O110" s="63"/>
      <c r="P110" s="63"/>
      <c r="Q110" s="63"/>
      <c r="R110" s="63"/>
      <c r="S110" s="63"/>
    </row>
    <row r="111" spans="1:19" ht="24" customHeight="1" hidden="1">
      <c r="A111" s="163">
        <v>34</v>
      </c>
      <c r="B111" s="146"/>
      <c r="C111" s="143"/>
      <c r="D111" s="146"/>
      <c r="E111" s="154"/>
      <c r="F111" s="154"/>
      <c r="G111" s="164"/>
      <c r="H111" s="164"/>
      <c r="I111" s="146"/>
      <c r="J111" s="164"/>
      <c r="K111" s="146"/>
      <c r="L111" s="146"/>
      <c r="M111" s="163">
        <f>SUM(O111:S113)</f>
        <v>0</v>
      </c>
      <c r="N111" s="32" t="s">
        <v>19</v>
      </c>
      <c r="O111" s="63"/>
      <c r="P111" s="63"/>
      <c r="Q111" s="63"/>
      <c r="R111" s="63"/>
      <c r="S111" s="63"/>
    </row>
    <row r="112" spans="1:19" ht="24" customHeight="1" hidden="1">
      <c r="A112" s="140"/>
      <c r="B112" s="147"/>
      <c r="C112" s="133"/>
      <c r="D112" s="147"/>
      <c r="E112" s="155"/>
      <c r="F112" s="155"/>
      <c r="G112" s="165"/>
      <c r="H112" s="165"/>
      <c r="I112" s="147"/>
      <c r="J112" s="165"/>
      <c r="K112" s="147"/>
      <c r="L112" s="147"/>
      <c r="M112" s="140"/>
      <c r="N112" s="32" t="s">
        <v>69</v>
      </c>
      <c r="O112" s="63"/>
      <c r="P112" s="63"/>
      <c r="Q112" s="63"/>
      <c r="R112" s="63"/>
      <c r="S112" s="63"/>
    </row>
    <row r="113" spans="1:19" ht="24" customHeight="1" hidden="1">
      <c r="A113" s="141"/>
      <c r="B113" s="148"/>
      <c r="C113" s="134"/>
      <c r="D113" s="148"/>
      <c r="E113" s="156"/>
      <c r="F113" s="156"/>
      <c r="G113" s="166"/>
      <c r="H113" s="166"/>
      <c r="I113" s="148"/>
      <c r="J113" s="166"/>
      <c r="K113" s="148"/>
      <c r="L113" s="148"/>
      <c r="M113" s="141"/>
      <c r="N113" s="32" t="s">
        <v>21</v>
      </c>
      <c r="O113" s="63"/>
      <c r="P113" s="63"/>
      <c r="Q113" s="63"/>
      <c r="R113" s="63"/>
      <c r="S113" s="63"/>
    </row>
    <row r="114" spans="1:19" ht="24" customHeight="1" hidden="1">
      <c r="A114" s="163">
        <v>35</v>
      </c>
      <c r="B114" s="146"/>
      <c r="C114" s="143"/>
      <c r="D114" s="146"/>
      <c r="E114" s="154"/>
      <c r="F114" s="154"/>
      <c r="G114" s="164"/>
      <c r="H114" s="164"/>
      <c r="I114" s="146"/>
      <c r="J114" s="164"/>
      <c r="K114" s="146"/>
      <c r="L114" s="146"/>
      <c r="M114" s="163">
        <f>SUM(O114:S116)</f>
        <v>0</v>
      </c>
      <c r="N114" s="32" t="s">
        <v>19</v>
      </c>
      <c r="O114" s="63"/>
      <c r="P114" s="63"/>
      <c r="Q114" s="63"/>
      <c r="R114" s="63"/>
      <c r="S114" s="63"/>
    </row>
    <row r="115" spans="1:19" ht="24" customHeight="1" hidden="1">
      <c r="A115" s="140"/>
      <c r="B115" s="147"/>
      <c r="C115" s="133"/>
      <c r="D115" s="147"/>
      <c r="E115" s="155"/>
      <c r="F115" s="155"/>
      <c r="G115" s="165"/>
      <c r="H115" s="165"/>
      <c r="I115" s="147"/>
      <c r="J115" s="165"/>
      <c r="K115" s="147"/>
      <c r="L115" s="147"/>
      <c r="M115" s="140"/>
      <c r="N115" s="32" t="s">
        <v>69</v>
      </c>
      <c r="O115" s="63"/>
      <c r="P115" s="63"/>
      <c r="Q115" s="63"/>
      <c r="R115" s="63"/>
      <c r="S115" s="63"/>
    </row>
    <row r="116" spans="1:19" ht="24" customHeight="1" hidden="1">
      <c r="A116" s="141"/>
      <c r="B116" s="148"/>
      <c r="C116" s="134"/>
      <c r="D116" s="148"/>
      <c r="E116" s="156"/>
      <c r="F116" s="156"/>
      <c r="G116" s="166"/>
      <c r="H116" s="166"/>
      <c r="I116" s="148"/>
      <c r="J116" s="166"/>
      <c r="K116" s="148"/>
      <c r="L116" s="148"/>
      <c r="M116" s="141"/>
      <c r="N116" s="32" t="s">
        <v>21</v>
      </c>
      <c r="O116" s="63"/>
      <c r="P116" s="63"/>
      <c r="Q116" s="63"/>
      <c r="R116" s="63"/>
      <c r="S116" s="63"/>
    </row>
    <row r="117" spans="1:19" ht="24" customHeight="1" hidden="1">
      <c r="A117" s="163">
        <v>36</v>
      </c>
      <c r="B117" s="146"/>
      <c r="C117" s="143"/>
      <c r="D117" s="146"/>
      <c r="E117" s="154"/>
      <c r="F117" s="154"/>
      <c r="G117" s="164"/>
      <c r="H117" s="164"/>
      <c r="I117" s="146"/>
      <c r="J117" s="164"/>
      <c r="K117" s="146"/>
      <c r="L117" s="146"/>
      <c r="M117" s="163">
        <f>SUM(O117:S119)</f>
        <v>0</v>
      </c>
      <c r="N117" s="32" t="s">
        <v>19</v>
      </c>
      <c r="O117" s="63"/>
      <c r="P117" s="63"/>
      <c r="Q117" s="63"/>
      <c r="R117" s="63"/>
      <c r="S117" s="63"/>
    </row>
    <row r="118" spans="1:19" ht="24" customHeight="1" hidden="1">
      <c r="A118" s="140"/>
      <c r="B118" s="147"/>
      <c r="C118" s="133"/>
      <c r="D118" s="147"/>
      <c r="E118" s="155"/>
      <c r="F118" s="155"/>
      <c r="G118" s="165"/>
      <c r="H118" s="165"/>
      <c r="I118" s="147"/>
      <c r="J118" s="165"/>
      <c r="K118" s="147"/>
      <c r="L118" s="147"/>
      <c r="M118" s="140"/>
      <c r="N118" s="32" t="s">
        <v>69</v>
      </c>
      <c r="O118" s="63"/>
      <c r="P118" s="63"/>
      <c r="Q118" s="63"/>
      <c r="R118" s="63"/>
      <c r="S118" s="63"/>
    </row>
    <row r="119" spans="1:19" ht="24" customHeight="1" hidden="1">
      <c r="A119" s="141"/>
      <c r="B119" s="148"/>
      <c r="C119" s="134"/>
      <c r="D119" s="148"/>
      <c r="E119" s="156"/>
      <c r="F119" s="156"/>
      <c r="G119" s="166"/>
      <c r="H119" s="166"/>
      <c r="I119" s="148"/>
      <c r="J119" s="166"/>
      <c r="K119" s="148"/>
      <c r="L119" s="148"/>
      <c r="M119" s="141"/>
      <c r="N119" s="32" t="s">
        <v>21</v>
      </c>
      <c r="O119" s="63"/>
      <c r="P119" s="63"/>
      <c r="Q119" s="63"/>
      <c r="R119" s="63"/>
      <c r="S119" s="63"/>
    </row>
    <row r="120" spans="1:19" ht="24" customHeight="1" hidden="1">
      <c r="A120" s="163">
        <v>37</v>
      </c>
      <c r="B120" s="146"/>
      <c r="C120" s="143"/>
      <c r="D120" s="146"/>
      <c r="E120" s="154"/>
      <c r="F120" s="154"/>
      <c r="G120" s="164"/>
      <c r="H120" s="164"/>
      <c r="I120" s="146"/>
      <c r="J120" s="164"/>
      <c r="K120" s="146"/>
      <c r="L120" s="146"/>
      <c r="M120" s="163">
        <f>SUM(O120:S122)</f>
        <v>0</v>
      </c>
      <c r="N120" s="32" t="s">
        <v>19</v>
      </c>
      <c r="O120" s="63"/>
      <c r="P120" s="63"/>
      <c r="Q120" s="63"/>
      <c r="R120" s="63"/>
      <c r="S120" s="63"/>
    </row>
    <row r="121" spans="1:19" ht="24" customHeight="1" hidden="1">
      <c r="A121" s="140"/>
      <c r="B121" s="147"/>
      <c r="C121" s="133"/>
      <c r="D121" s="147"/>
      <c r="E121" s="155"/>
      <c r="F121" s="155"/>
      <c r="G121" s="165"/>
      <c r="H121" s="165"/>
      <c r="I121" s="147"/>
      <c r="J121" s="165"/>
      <c r="K121" s="147"/>
      <c r="L121" s="147"/>
      <c r="M121" s="140"/>
      <c r="N121" s="32" t="s">
        <v>69</v>
      </c>
      <c r="O121" s="63"/>
      <c r="P121" s="63"/>
      <c r="Q121" s="63"/>
      <c r="R121" s="63"/>
      <c r="S121" s="63"/>
    </row>
    <row r="122" spans="1:19" ht="24" customHeight="1" hidden="1">
      <c r="A122" s="141"/>
      <c r="B122" s="148"/>
      <c r="C122" s="134"/>
      <c r="D122" s="148"/>
      <c r="E122" s="156"/>
      <c r="F122" s="156"/>
      <c r="G122" s="166"/>
      <c r="H122" s="166"/>
      <c r="I122" s="148"/>
      <c r="J122" s="166"/>
      <c r="K122" s="148"/>
      <c r="L122" s="148"/>
      <c r="M122" s="141"/>
      <c r="N122" s="32" t="s">
        <v>21</v>
      </c>
      <c r="O122" s="63"/>
      <c r="P122" s="63"/>
      <c r="Q122" s="63"/>
      <c r="R122" s="63"/>
      <c r="S122" s="63"/>
    </row>
    <row r="123" spans="1:21" ht="24" customHeight="1">
      <c r="A123" s="140"/>
      <c r="B123" s="151" t="s">
        <v>271</v>
      </c>
      <c r="C123" s="139"/>
      <c r="D123" s="152"/>
      <c r="E123" s="153"/>
      <c r="F123" s="153"/>
      <c r="G123" s="139"/>
      <c r="H123" s="139"/>
      <c r="I123" s="163"/>
      <c r="J123" s="139"/>
      <c r="K123" s="139"/>
      <c r="L123" s="139"/>
      <c r="M123" s="138">
        <f>SUM(M45:M122)</f>
        <v>89204</v>
      </c>
      <c r="N123" s="40" t="s">
        <v>19</v>
      </c>
      <c r="O123" s="65">
        <f aca="true" t="shared" si="1" ref="O123:S125">SUM(O45,O48,O51,O54,O57,O63,O66,O69,O72,O75,O78,O81,O84,O87,O90,O93,O96,O99,O105,O108,O111,O114,O117,O120,O60)</f>
        <v>0</v>
      </c>
      <c r="P123" s="65">
        <f t="shared" si="1"/>
        <v>0</v>
      </c>
      <c r="Q123" s="65">
        <f t="shared" si="1"/>
        <v>0</v>
      </c>
      <c r="R123" s="65">
        <f t="shared" si="1"/>
        <v>0</v>
      </c>
      <c r="S123" s="65">
        <f t="shared" si="1"/>
        <v>0</v>
      </c>
      <c r="T123" s="66"/>
      <c r="U123" s="42"/>
    </row>
    <row r="124" spans="1:21" ht="24" customHeight="1">
      <c r="A124" s="140"/>
      <c r="B124" s="151"/>
      <c r="C124" s="139"/>
      <c r="D124" s="152"/>
      <c r="E124" s="153"/>
      <c r="F124" s="153"/>
      <c r="G124" s="139"/>
      <c r="H124" s="139"/>
      <c r="I124" s="140"/>
      <c r="J124" s="139"/>
      <c r="K124" s="139"/>
      <c r="L124" s="139"/>
      <c r="M124" s="138"/>
      <c r="N124" s="40" t="s">
        <v>69</v>
      </c>
      <c r="O124" s="65">
        <f t="shared" si="1"/>
        <v>0</v>
      </c>
      <c r="P124" s="65">
        <f t="shared" si="1"/>
        <v>0</v>
      </c>
      <c r="Q124" s="65">
        <f t="shared" si="1"/>
        <v>2839</v>
      </c>
      <c r="R124" s="65">
        <f t="shared" si="1"/>
        <v>375</v>
      </c>
      <c r="S124" s="65">
        <f t="shared" si="1"/>
        <v>0</v>
      </c>
      <c r="T124" s="66"/>
      <c r="U124" s="42"/>
    </row>
    <row r="125" spans="1:21" ht="24" customHeight="1">
      <c r="A125" s="141"/>
      <c r="B125" s="151"/>
      <c r="C125" s="139"/>
      <c r="D125" s="152"/>
      <c r="E125" s="153"/>
      <c r="F125" s="153"/>
      <c r="G125" s="139"/>
      <c r="H125" s="139"/>
      <c r="I125" s="141"/>
      <c r="J125" s="139"/>
      <c r="K125" s="139"/>
      <c r="L125" s="139"/>
      <c r="M125" s="138"/>
      <c r="N125" s="40" t="s">
        <v>21</v>
      </c>
      <c r="O125" s="65">
        <f t="shared" si="1"/>
        <v>0</v>
      </c>
      <c r="P125" s="65">
        <f t="shared" si="1"/>
        <v>0</v>
      </c>
      <c r="Q125" s="65">
        <f t="shared" si="1"/>
        <v>10457</v>
      </c>
      <c r="R125" s="65">
        <f t="shared" si="1"/>
        <v>38667</v>
      </c>
      <c r="S125" s="65">
        <f t="shared" si="1"/>
        <v>36866</v>
      </c>
      <c r="T125" s="66"/>
      <c r="U125" s="42"/>
    </row>
    <row r="126" spans="1:20" ht="24" customHeight="1">
      <c r="A126" s="31"/>
      <c r="B126" s="36"/>
      <c r="C126" s="34"/>
      <c r="D126" s="37"/>
      <c r="E126" s="38"/>
      <c r="F126" s="38"/>
      <c r="G126" s="34"/>
      <c r="H126" s="34"/>
      <c r="I126" s="31"/>
      <c r="J126" s="34"/>
      <c r="K126" s="34"/>
      <c r="L126" s="34"/>
      <c r="M126" s="39"/>
      <c r="N126" s="40"/>
      <c r="O126" s="67"/>
      <c r="P126" s="67"/>
      <c r="Q126" s="67"/>
      <c r="R126" s="67"/>
      <c r="S126" s="67"/>
      <c r="T126" s="66"/>
    </row>
    <row r="127" spans="1:21" ht="23.25">
      <c r="A127" s="140"/>
      <c r="B127" s="151" t="s">
        <v>121</v>
      </c>
      <c r="C127" s="139"/>
      <c r="D127" s="152"/>
      <c r="E127" s="153"/>
      <c r="F127" s="153"/>
      <c r="G127" s="139"/>
      <c r="H127" s="139"/>
      <c r="I127" s="163"/>
      <c r="J127" s="139"/>
      <c r="K127" s="139"/>
      <c r="L127" s="139"/>
      <c r="M127" s="173">
        <f>SUM(M41,M123)</f>
        <v>174100</v>
      </c>
      <c r="N127" s="71" t="s">
        <v>19</v>
      </c>
      <c r="O127" s="115">
        <f aca="true" t="shared" si="2" ref="O127:S129">SUM(O123,O41)</f>
        <v>0</v>
      </c>
      <c r="P127" s="115">
        <f t="shared" si="2"/>
        <v>0</v>
      </c>
      <c r="Q127" s="115">
        <f t="shared" si="2"/>
        <v>2598.75</v>
      </c>
      <c r="R127" s="115">
        <f t="shared" si="2"/>
        <v>0</v>
      </c>
      <c r="S127" s="115">
        <f t="shared" si="2"/>
        <v>0</v>
      </c>
      <c r="T127" s="66"/>
      <c r="U127" s="42"/>
    </row>
    <row r="128" spans="1:21" ht="23.25">
      <c r="A128" s="140"/>
      <c r="B128" s="151"/>
      <c r="C128" s="139"/>
      <c r="D128" s="152"/>
      <c r="E128" s="153"/>
      <c r="F128" s="153"/>
      <c r="G128" s="139"/>
      <c r="H128" s="139"/>
      <c r="I128" s="140"/>
      <c r="J128" s="139"/>
      <c r="K128" s="139"/>
      <c r="L128" s="139"/>
      <c r="M128" s="173"/>
      <c r="N128" s="71" t="s">
        <v>69</v>
      </c>
      <c r="O128" s="115">
        <f t="shared" si="2"/>
        <v>0</v>
      </c>
      <c r="P128" s="115">
        <f t="shared" si="2"/>
        <v>0</v>
      </c>
      <c r="Q128" s="115">
        <f t="shared" si="2"/>
        <v>4039</v>
      </c>
      <c r="R128" s="115">
        <f t="shared" si="2"/>
        <v>2054</v>
      </c>
      <c r="S128" s="115">
        <f t="shared" si="2"/>
        <v>0</v>
      </c>
      <c r="T128" s="66"/>
      <c r="U128" s="42"/>
    </row>
    <row r="129" spans="1:21" ht="23.25">
      <c r="A129" s="141"/>
      <c r="B129" s="151"/>
      <c r="C129" s="139"/>
      <c r="D129" s="152"/>
      <c r="E129" s="153"/>
      <c r="F129" s="153"/>
      <c r="G129" s="139"/>
      <c r="H129" s="139"/>
      <c r="I129" s="141"/>
      <c r="J129" s="139"/>
      <c r="K129" s="139"/>
      <c r="L129" s="139"/>
      <c r="M129" s="173"/>
      <c r="N129" s="71" t="s">
        <v>21</v>
      </c>
      <c r="O129" s="115">
        <f t="shared" si="2"/>
        <v>15454</v>
      </c>
      <c r="P129" s="115">
        <f t="shared" si="2"/>
        <v>33840</v>
      </c>
      <c r="Q129" s="115">
        <f t="shared" si="2"/>
        <v>36182.25</v>
      </c>
      <c r="R129" s="115">
        <f t="shared" si="2"/>
        <v>38667</v>
      </c>
      <c r="S129" s="115">
        <f t="shared" si="2"/>
        <v>41265</v>
      </c>
      <c r="T129" s="66"/>
      <c r="U129" s="42"/>
    </row>
    <row r="130" spans="1:21" ht="15">
      <c r="A130" s="43"/>
      <c r="B130" s="103"/>
      <c r="C130" s="43"/>
      <c r="D130" s="44"/>
      <c r="E130" s="45"/>
      <c r="F130" s="45"/>
      <c r="G130" s="43"/>
      <c r="H130" s="43"/>
      <c r="I130" s="43"/>
      <c r="J130" s="43"/>
      <c r="K130" s="43"/>
      <c r="L130" s="43"/>
      <c r="M130" s="70"/>
      <c r="N130" s="71"/>
      <c r="O130" s="115">
        <f>SUM(O127:O129)</f>
        <v>15454</v>
      </c>
      <c r="P130" s="115">
        <f>SUM(P127:P129)</f>
        <v>33840</v>
      </c>
      <c r="Q130" s="115">
        <f>SUM(Q127:Q129)</f>
        <v>42820</v>
      </c>
      <c r="R130" s="115">
        <f>SUM(R127:R129)</f>
        <v>40721</v>
      </c>
      <c r="S130" s="115">
        <f>SUM(S127:S129)</f>
        <v>41265</v>
      </c>
      <c r="T130" s="66"/>
      <c r="U130" s="42"/>
    </row>
    <row r="131" spans="1:19" ht="76.5">
      <c r="A131" s="43"/>
      <c r="B131" s="44"/>
      <c r="C131" s="43"/>
      <c r="D131" s="44"/>
      <c r="E131" s="45"/>
      <c r="F131" s="45"/>
      <c r="G131" s="43"/>
      <c r="H131" s="43"/>
      <c r="I131" s="43"/>
      <c r="J131" s="43"/>
      <c r="K131" s="43"/>
      <c r="M131" s="48" t="s">
        <v>297</v>
      </c>
      <c r="N131" s="132">
        <f>SUM(P131:S131)</f>
        <v>79955.4</v>
      </c>
      <c r="P131" s="114">
        <f>16340.9</f>
        <v>16340.9</v>
      </c>
      <c r="Q131" s="114">
        <f>18682.6</f>
        <v>18682.6</v>
      </c>
      <c r="R131" s="114">
        <f>21167.3</f>
        <v>21167.3</v>
      </c>
      <c r="S131" s="114">
        <f>23764.6</f>
        <v>23764.6</v>
      </c>
    </row>
    <row r="132" spans="1:19" ht="15">
      <c r="A132" s="43"/>
      <c r="B132" s="51"/>
      <c r="C132" s="43"/>
      <c r="D132" s="44"/>
      <c r="E132" s="45"/>
      <c r="F132" s="45"/>
      <c r="G132" s="43"/>
      <c r="H132" s="43"/>
      <c r="I132" s="43"/>
      <c r="K132" s="43"/>
      <c r="L132" s="52"/>
      <c r="M132" s="43"/>
      <c r="N132" s="46"/>
      <c r="O132" s="53"/>
      <c r="P132" s="72"/>
      <c r="Q132" s="72"/>
      <c r="R132" s="72"/>
      <c r="S132" s="72"/>
    </row>
    <row r="133" spans="15:18" ht="12.75">
      <c r="O133" s="27"/>
      <c r="P133" s="27"/>
      <c r="Q133" s="66"/>
      <c r="R133" s="66"/>
    </row>
    <row r="134" spans="15:18" ht="12.75">
      <c r="O134" s="27"/>
      <c r="P134" s="27"/>
      <c r="Q134" s="27"/>
      <c r="R134" s="27"/>
    </row>
    <row r="135" spans="15:18" ht="12.75">
      <c r="O135" s="27"/>
      <c r="P135" s="27"/>
      <c r="Q135" s="27"/>
      <c r="R135" s="27"/>
    </row>
    <row r="136" spans="15:18" ht="12.75">
      <c r="O136" s="27"/>
      <c r="P136" s="27"/>
      <c r="Q136" s="27"/>
      <c r="R136" s="27"/>
    </row>
    <row r="137" spans="15:18" ht="12.75">
      <c r="O137" s="27"/>
      <c r="P137" s="27"/>
      <c r="Q137" s="27"/>
      <c r="R137" s="27"/>
    </row>
    <row r="138" spans="15:18" ht="12.75">
      <c r="O138" s="27"/>
      <c r="P138" s="27"/>
      <c r="Q138" s="27"/>
      <c r="R138" s="27"/>
    </row>
    <row r="139" spans="15:18" ht="12.75">
      <c r="O139" s="27"/>
      <c r="P139" s="27"/>
      <c r="Q139" s="27"/>
      <c r="R139" s="27"/>
    </row>
    <row r="140" spans="15:18" ht="12.75">
      <c r="O140" s="27"/>
      <c r="P140" s="27"/>
      <c r="Q140" s="27"/>
      <c r="R140" s="27"/>
    </row>
    <row r="141" spans="15:18" ht="12.75">
      <c r="O141" s="27"/>
      <c r="P141" s="27"/>
      <c r="Q141" s="27"/>
      <c r="R141" s="27"/>
    </row>
    <row r="142" spans="15:18" ht="12.75">
      <c r="O142" s="27"/>
      <c r="P142" s="27"/>
      <c r="Q142" s="27"/>
      <c r="R142" s="27"/>
    </row>
    <row r="143" spans="15:18" ht="12.75">
      <c r="O143" s="27"/>
      <c r="P143" s="27"/>
      <c r="Q143" s="27"/>
      <c r="R143" s="27"/>
    </row>
    <row r="144" spans="15:18" ht="12.75">
      <c r="O144" s="27"/>
      <c r="P144" s="27"/>
      <c r="Q144" s="27"/>
      <c r="R144" s="27"/>
    </row>
    <row r="145" spans="15:18" ht="12.75">
      <c r="O145" s="27"/>
      <c r="P145" s="27"/>
      <c r="Q145" s="27"/>
      <c r="R145" s="27"/>
    </row>
    <row r="146" spans="15:18" ht="12.75">
      <c r="O146" s="27"/>
      <c r="P146" s="27"/>
      <c r="Q146" s="27"/>
      <c r="R146" s="27"/>
    </row>
    <row r="147" spans="15:18" ht="12.75">
      <c r="O147" s="27"/>
      <c r="P147" s="27"/>
      <c r="Q147" s="27"/>
      <c r="R147" s="27"/>
    </row>
  </sheetData>
  <sheetProtection/>
  <mergeCells count="538">
    <mergeCell ref="Q3:S3"/>
    <mergeCell ref="A66:A68"/>
    <mergeCell ref="E66:E68"/>
    <mergeCell ref="D66:D68"/>
    <mergeCell ref="C66:C68"/>
    <mergeCell ref="B66:B68"/>
    <mergeCell ref="I66:I68"/>
    <mergeCell ref="H66:H68"/>
    <mergeCell ref="G66:G68"/>
    <mergeCell ref="F66:F68"/>
    <mergeCell ref="B2:Q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S4"/>
    <mergeCell ref="B7:M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L35:L37"/>
    <mergeCell ref="M35:M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B44:M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A51:A53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L51:L53"/>
    <mergeCell ref="M51:M53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A57:A59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K59"/>
    <mergeCell ref="L57:L59"/>
    <mergeCell ref="M57:M59"/>
    <mergeCell ref="A60:A62"/>
    <mergeCell ref="B60:B62"/>
    <mergeCell ref="C60:C62"/>
    <mergeCell ref="D60:D62"/>
    <mergeCell ref="E60:E62"/>
    <mergeCell ref="F60:F62"/>
    <mergeCell ref="G60:G62"/>
    <mergeCell ref="H60:H62"/>
    <mergeCell ref="I60:I62"/>
    <mergeCell ref="J60:J62"/>
    <mergeCell ref="K60:K62"/>
    <mergeCell ref="L60:L62"/>
    <mergeCell ref="M60:M62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J63:J65"/>
    <mergeCell ref="K63:K65"/>
    <mergeCell ref="L63:L65"/>
    <mergeCell ref="M63:M65"/>
    <mergeCell ref="J66:J68"/>
    <mergeCell ref="K66:K68"/>
    <mergeCell ref="L66:L68"/>
    <mergeCell ref="M66:M68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J72:J74"/>
    <mergeCell ref="K72:K74"/>
    <mergeCell ref="L72:L74"/>
    <mergeCell ref="M72:M74"/>
    <mergeCell ref="A75:A77"/>
    <mergeCell ref="B75:B77"/>
    <mergeCell ref="C75:C77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M75:M77"/>
    <mergeCell ref="A78:A80"/>
    <mergeCell ref="B78:B80"/>
    <mergeCell ref="C78:C80"/>
    <mergeCell ref="D78:D80"/>
    <mergeCell ref="E78:E80"/>
    <mergeCell ref="F78:F80"/>
    <mergeCell ref="G78:G80"/>
    <mergeCell ref="H78:H80"/>
    <mergeCell ref="I78:I80"/>
    <mergeCell ref="J78:J80"/>
    <mergeCell ref="K78:K80"/>
    <mergeCell ref="L78:L80"/>
    <mergeCell ref="M78:M80"/>
    <mergeCell ref="A81:A83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M81:M83"/>
    <mergeCell ref="A84:A86"/>
    <mergeCell ref="B84:B86"/>
    <mergeCell ref="C84:C86"/>
    <mergeCell ref="D84:D86"/>
    <mergeCell ref="E84:E86"/>
    <mergeCell ref="F84:F86"/>
    <mergeCell ref="G84:G86"/>
    <mergeCell ref="H84:H86"/>
    <mergeCell ref="I84:I86"/>
    <mergeCell ref="J84:J86"/>
    <mergeCell ref="K84:K86"/>
    <mergeCell ref="L84:L86"/>
    <mergeCell ref="M84:M86"/>
    <mergeCell ref="A87:A89"/>
    <mergeCell ref="B87:B89"/>
    <mergeCell ref="C87:C89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A90:A92"/>
    <mergeCell ref="B90:B92"/>
    <mergeCell ref="C90:C92"/>
    <mergeCell ref="D90:D92"/>
    <mergeCell ref="E90:E92"/>
    <mergeCell ref="F90:F92"/>
    <mergeCell ref="G90:G92"/>
    <mergeCell ref="H90:H92"/>
    <mergeCell ref="I90:I92"/>
    <mergeCell ref="J90:J92"/>
    <mergeCell ref="K90:K92"/>
    <mergeCell ref="L90:L92"/>
    <mergeCell ref="M90:M92"/>
    <mergeCell ref="A93:A95"/>
    <mergeCell ref="B93:B95"/>
    <mergeCell ref="C93:C95"/>
    <mergeCell ref="D93:D95"/>
    <mergeCell ref="E93:E95"/>
    <mergeCell ref="F93:F95"/>
    <mergeCell ref="G93:G95"/>
    <mergeCell ref="H93:H95"/>
    <mergeCell ref="I93:I95"/>
    <mergeCell ref="J93:J95"/>
    <mergeCell ref="K93:K95"/>
    <mergeCell ref="L93:L95"/>
    <mergeCell ref="M93:M95"/>
    <mergeCell ref="A96:A98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K98"/>
    <mergeCell ref="L96:L98"/>
    <mergeCell ref="M96:M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M99:M101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102:K104"/>
    <mergeCell ref="L102:L104"/>
    <mergeCell ref="M102:M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L105:L107"/>
    <mergeCell ref="M105:M107"/>
    <mergeCell ref="A108:A110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J108:J110"/>
    <mergeCell ref="K108:K110"/>
    <mergeCell ref="L108:L110"/>
    <mergeCell ref="M108:M110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I111:I113"/>
    <mergeCell ref="J111:J113"/>
    <mergeCell ref="K111:K113"/>
    <mergeCell ref="L111:L113"/>
    <mergeCell ref="M111:M113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L114:L116"/>
    <mergeCell ref="M114:M116"/>
    <mergeCell ref="A117:A119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J117:J119"/>
    <mergeCell ref="K117:K119"/>
    <mergeCell ref="L117:L119"/>
    <mergeCell ref="M117:M119"/>
    <mergeCell ref="A120:A122"/>
    <mergeCell ref="B120:B122"/>
    <mergeCell ref="C120:C122"/>
    <mergeCell ref="D120:D122"/>
    <mergeCell ref="E120:E122"/>
    <mergeCell ref="F120:F122"/>
    <mergeCell ref="G120:G122"/>
    <mergeCell ref="H120:H122"/>
    <mergeCell ref="I120:I122"/>
    <mergeCell ref="J120:J122"/>
    <mergeCell ref="K120:K122"/>
    <mergeCell ref="L120:L122"/>
    <mergeCell ref="M120:M122"/>
    <mergeCell ref="A123:A125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K123:K125"/>
    <mergeCell ref="L123:L125"/>
    <mergeCell ref="M123:M125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M127:M129"/>
    <mergeCell ref="I127:I129"/>
    <mergeCell ref="J127:J129"/>
    <mergeCell ref="K127:K129"/>
    <mergeCell ref="L127:L129"/>
  </mergeCells>
  <printOptions/>
  <pageMargins left="0.45" right="0.44" top="0.3" bottom="0.3" header="0.5" footer="0.5"/>
  <pageSetup fitToHeight="3" horizontalDpi="600" verticalDpi="600" orientation="landscape" scale="68" r:id="rId1"/>
  <rowBreaks count="2" manualBreakCount="2">
    <brk id="33" max="18" man="1"/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xSplit="2" ySplit="5" topLeftCell="I7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84" sqref="M84"/>
    </sheetView>
  </sheetViews>
  <sheetFormatPr defaultColWidth="9.00390625" defaultRowHeight="12.75"/>
  <cols>
    <col min="1" max="1" width="3.875" style="76" customWidth="1"/>
    <col min="2" max="2" width="24.00390625" style="77" customWidth="1"/>
    <col min="3" max="3" width="19.00390625" style="76" customWidth="1"/>
    <col min="4" max="4" width="11.125" style="76" customWidth="1"/>
    <col min="5" max="5" width="9.625" style="76" customWidth="1"/>
    <col min="6" max="6" width="11.625" style="76" customWidth="1"/>
    <col min="7" max="7" width="11.75390625" style="76" customWidth="1"/>
    <col min="8" max="8" width="13.375" style="78" customWidth="1"/>
    <col min="9" max="9" width="9.625" style="76" customWidth="1"/>
    <col min="10" max="10" width="13.125" style="76" customWidth="1"/>
    <col min="11" max="11" width="12.875" style="76" customWidth="1"/>
    <col min="12" max="12" width="11.75390625" style="76" customWidth="1"/>
    <col min="13" max="13" width="18.875" style="78" customWidth="1"/>
    <col min="14" max="14" width="6.625" style="76" customWidth="1"/>
    <col min="15" max="18" width="6.00390625" style="76" customWidth="1"/>
    <col min="19" max="19" width="8.625" style="79" customWidth="1"/>
    <col min="20" max="21" width="9.125" style="79" customWidth="1"/>
    <col min="22" max="16384" width="9.125" style="80" customWidth="1"/>
  </cols>
  <sheetData>
    <row r="1" spans="3:9" ht="12.75">
      <c r="C1" s="177" t="s">
        <v>272</v>
      </c>
      <c r="D1" s="177"/>
      <c r="E1" s="177"/>
      <c r="F1" s="177"/>
      <c r="G1" s="177"/>
      <c r="H1" s="177"/>
      <c r="I1" s="177"/>
    </row>
    <row r="2" spans="2:18" ht="15.75">
      <c r="B2" s="81" t="s">
        <v>276</v>
      </c>
      <c r="P2" s="159" t="s">
        <v>302</v>
      </c>
      <c r="Q2" s="159"/>
      <c r="R2" s="159"/>
    </row>
    <row r="3" spans="1:18" ht="27.75" customHeight="1">
      <c r="A3" s="194" t="s">
        <v>0</v>
      </c>
      <c r="B3" s="191" t="s">
        <v>12</v>
      </c>
      <c r="C3" s="191" t="s">
        <v>11</v>
      </c>
      <c r="D3" s="191" t="s">
        <v>1</v>
      </c>
      <c r="E3" s="189" t="s">
        <v>23</v>
      </c>
      <c r="F3" s="189" t="s">
        <v>24</v>
      </c>
      <c r="G3" s="189" t="s">
        <v>13</v>
      </c>
      <c r="H3" s="189" t="s">
        <v>14</v>
      </c>
      <c r="I3" s="189" t="s">
        <v>15</v>
      </c>
      <c r="J3" s="189" t="s">
        <v>16</v>
      </c>
      <c r="K3" s="189" t="s">
        <v>17</v>
      </c>
      <c r="L3" s="191" t="s">
        <v>18</v>
      </c>
      <c r="M3" s="189" t="s">
        <v>22</v>
      </c>
      <c r="N3" s="192" t="s">
        <v>2</v>
      </c>
      <c r="O3" s="192"/>
      <c r="P3" s="192"/>
      <c r="Q3" s="192"/>
      <c r="R3" s="192"/>
    </row>
    <row r="4" spans="1:18" ht="35.25" customHeight="1">
      <c r="A4" s="194"/>
      <c r="B4" s="191"/>
      <c r="C4" s="191"/>
      <c r="D4" s="191"/>
      <c r="E4" s="190"/>
      <c r="F4" s="190"/>
      <c r="G4" s="190"/>
      <c r="H4" s="190"/>
      <c r="I4" s="190"/>
      <c r="J4" s="190"/>
      <c r="K4" s="190"/>
      <c r="L4" s="191"/>
      <c r="M4" s="190"/>
      <c r="N4" s="83">
        <v>2006</v>
      </c>
      <c r="O4" s="83">
        <v>2007</v>
      </c>
      <c r="P4" s="83">
        <v>2008</v>
      </c>
      <c r="Q4" s="83">
        <v>2009</v>
      </c>
      <c r="R4" s="83">
        <v>2010</v>
      </c>
    </row>
    <row r="5" spans="1:18" ht="12.75" customHeight="1">
      <c r="A5" s="84">
        <v>1</v>
      </c>
      <c r="B5" s="83">
        <v>2</v>
      </c>
      <c r="C5" s="83">
        <v>3</v>
      </c>
      <c r="D5" s="83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  <c r="J5" s="85">
        <v>10</v>
      </c>
      <c r="K5" s="85">
        <v>11</v>
      </c>
      <c r="L5" s="83">
        <v>12</v>
      </c>
      <c r="M5" s="85">
        <v>13</v>
      </c>
      <c r="N5" s="83">
        <v>14</v>
      </c>
      <c r="O5" s="83">
        <v>15</v>
      </c>
      <c r="P5" s="83">
        <v>16</v>
      </c>
      <c r="Q5" s="83">
        <v>17</v>
      </c>
      <c r="R5" s="83">
        <v>18</v>
      </c>
    </row>
    <row r="6" spans="1:18" ht="25.5">
      <c r="A6" s="84"/>
      <c r="B6" s="86" t="s">
        <v>26</v>
      </c>
      <c r="C6" s="87"/>
      <c r="D6" s="87"/>
      <c r="E6" s="87"/>
      <c r="F6" s="88"/>
      <c r="G6" s="87"/>
      <c r="H6" s="89"/>
      <c r="I6" s="87"/>
      <c r="J6" s="87"/>
      <c r="K6" s="87"/>
      <c r="L6" s="87"/>
      <c r="M6" s="89"/>
      <c r="N6" s="87"/>
      <c r="O6" s="87"/>
      <c r="P6" s="87"/>
      <c r="Q6" s="87"/>
      <c r="R6" s="87"/>
    </row>
    <row r="7" spans="1:18" ht="30" customHeight="1">
      <c r="A7" s="181">
        <v>1</v>
      </c>
      <c r="B7" s="184" t="s">
        <v>35</v>
      </c>
      <c r="C7" s="184" t="s">
        <v>38</v>
      </c>
      <c r="D7" s="178">
        <v>2002</v>
      </c>
      <c r="E7" s="178">
        <v>20</v>
      </c>
      <c r="F7" s="178">
        <v>1024951</v>
      </c>
      <c r="G7" s="184" t="s">
        <v>29</v>
      </c>
      <c r="H7" s="184" t="s">
        <v>30</v>
      </c>
      <c r="I7" s="178">
        <v>2001</v>
      </c>
      <c r="J7" s="178"/>
      <c r="K7" s="184" t="s">
        <v>51</v>
      </c>
      <c r="L7" s="181">
        <f>SUM(N7:R8)</f>
        <v>700</v>
      </c>
      <c r="M7" s="82" t="s">
        <v>19</v>
      </c>
      <c r="N7" s="90"/>
      <c r="O7" s="90"/>
      <c r="P7" s="90"/>
      <c r="Q7" s="90"/>
      <c r="R7" s="90"/>
    </row>
    <row r="8" spans="1:18" ht="30" customHeight="1">
      <c r="A8" s="182"/>
      <c r="B8" s="185"/>
      <c r="C8" s="185"/>
      <c r="D8" s="179"/>
      <c r="E8" s="179"/>
      <c r="F8" s="179"/>
      <c r="G8" s="185"/>
      <c r="H8" s="185"/>
      <c r="I8" s="179"/>
      <c r="J8" s="179"/>
      <c r="K8" s="185"/>
      <c r="L8" s="182"/>
      <c r="M8" s="82" t="s">
        <v>20</v>
      </c>
      <c r="N8" s="90">
        <v>700</v>
      </c>
      <c r="O8" s="91"/>
      <c r="P8" s="90"/>
      <c r="Q8" s="90"/>
      <c r="R8" s="90"/>
    </row>
    <row r="9" spans="1:18" ht="30" customHeight="1">
      <c r="A9" s="182"/>
      <c r="B9" s="185"/>
      <c r="C9" s="185"/>
      <c r="D9" s="179"/>
      <c r="E9" s="179"/>
      <c r="F9" s="179"/>
      <c r="G9" s="185"/>
      <c r="H9" s="185"/>
      <c r="I9" s="179"/>
      <c r="J9" s="179"/>
      <c r="K9" s="185"/>
      <c r="L9" s="182"/>
      <c r="M9" s="82" t="s">
        <v>21</v>
      </c>
      <c r="N9" s="90"/>
      <c r="O9" s="90"/>
      <c r="P9" s="90"/>
      <c r="Q9" s="90"/>
      <c r="R9" s="90"/>
    </row>
    <row r="10" spans="1:18" ht="30" customHeight="1">
      <c r="A10" s="183"/>
      <c r="B10" s="186"/>
      <c r="C10" s="186"/>
      <c r="D10" s="180"/>
      <c r="E10" s="180"/>
      <c r="F10" s="180"/>
      <c r="G10" s="186"/>
      <c r="H10" s="186"/>
      <c r="I10" s="180"/>
      <c r="J10" s="180"/>
      <c r="K10" s="186"/>
      <c r="L10" s="183"/>
      <c r="M10" s="82"/>
      <c r="N10" s="74"/>
      <c r="O10" s="74"/>
      <c r="P10" s="74"/>
      <c r="Q10" s="74"/>
      <c r="R10" s="74"/>
    </row>
    <row r="11" spans="1:18" ht="12.75">
      <c r="A11" s="74"/>
      <c r="B11" s="75" t="s">
        <v>4</v>
      </c>
      <c r="C11" s="82"/>
      <c r="D11" s="74"/>
      <c r="E11" s="92"/>
      <c r="F11" s="74"/>
      <c r="G11" s="74"/>
      <c r="H11" s="92"/>
      <c r="I11" s="74"/>
      <c r="J11" s="74"/>
      <c r="K11" s="74"/>
      <c r="L11" s="74"/>
      <c r="M11" s="82"/>
      <c r="N11" s="74"/>
      <c r="O11" s="74"/>
      <c r="P11" s="74"/>
      <c r="Q11" s="74"/>
      <c r="R11" s="74"/>
    </row>
    <row r="12" spans="1:18" ht="30" customHeight="1">
      <c r="A12" s="181">
        <v>2</v>
      </c>
      <c r="B12" s="184" t="s">
        <v>36</v>
      </c>
      <c r="C12" s="184" t="s">
        <v>39</v>
      </c>
      <c r="D12" s="178">
        <v>2005</v>
      </c>
      <c r="E12" s="178">
        <v>20</v>
      </c>
      <c r="F12" s="178">
        <v>2126434</v>
      </c>
      <c r="G12" s="178" t="s">
        <v>29</v>
      </c>
      <c r="H12" s="184" t="s">
        <v>33</v>
      </c>
      <c r="I12" s="178">
        <v>2003</v>
      </c>
      <c r="J12" s="178"/>
      <c r="K12" s="178" t="s">
        <v>27</v>
      </c>
      <c r="L12" s="181">
        <f>SUM(N12:R14)</f>
        <v>700</v>
      </c>
      <c r="M12" s="82" t="s">
        <v>19</v>
      </c>
      <c r="N12" s="90"/>
      <c r="O12" s="90"/>
      <c r="P12" s="90"/>
      <c r="Q12" s="90"/>
      <c r="R12" s="90"/>
    </row>
    <row r="13" spans="1:18" ht="30" customHeight="1">
      <c r="A13" s="182"/>
      <c r="B13" s="185"/>
      <c r="C13" s="185"/>
      <c r="D13" s="179"/>
      <c r="E13" s="179"/>
      <c r="F13" s="179"/>
      <c r="G13" s="179"/>
      <c r="H13" s="185"/>
      <c r="I13" s="179"/>
      <c r="J13" s="179"/>
      <c r="K13" s="179"/>
      <c r="L13" s="182"/>
      <c r="M13" s="82" t="s">
        <v>20</v>
      </c>
      <c r="N13" s="90">
        <v>700</v>
      </c>
      <c r="O13" s="91"/>
      <c r="P13" s="90"/>
      <c r="Q13" s="90"/>
      <c r="R13" s="90"/>
    </row>
    <row r="14" spans="1:18" ht="30" customHeight="1">
      <c r="A14" s="183"/>
      <c r="B14" s="186"/>
      <c r="C14" s="186"/>
      <c r="D14" s="180"/>
      <c r="E14" s="180"/>
      <c r="F14" s="180"/>
      <c r="G14" s="180"/>
      <c r="H14" s="186"/>
      <c r="I14" s="180"/>
      <c r="J14" s="180"/>
      <c r="K14" s="180"/>
      <c r="L14" s="183"/>
      <c r="M14" s="82" t="s">
        <v>21</v>
      </c>
      <c r="N14" s="90"/>
      <c r="O14" s="90"/>
      <c r="P14" s="90"/>
      <c r="Q14" s="90"/>
      <c r="R14" s="90"/>
    </row>
    <row r="15" spans="1:18" ht="18" customHeight="1">
      <c r="A15" s="74"/>
      <c r="B15" s="75" t="s">
        <v>25</v>
      </c>
      <c r="C15" s="75"/>
      <c r="D15" s="75"/>
      <c r="E15" s="92"/>
      <c r="F15" s="75"/>
      <c r="G15" s="75"/>
      <c r="H15" s="92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1:18" ht="22.5" customHeight="1">
      <c r="A16" s="181">
        <v>3</v>
      </c>
      <c r="B16" s="184" t="s">
        <v>37</v>
      </c>
      <c r="C16" s="184" t="s">
        <v>32</v>
      </c>
      <c r="D16" s="178">
        <v>2006</v>
      </c>
      <c r="E16" s="178">
        <v>20</v>
      </c>
      <c r="F16" s="178"/>
      <c r="G16" s="178" t="s">
        <v>29</v>
      </c>
      <c r="H16" s="184" t="s">
        <v>34</v>
      </c>
      <c r="I16" s="143" t="s">
        <v>296</v>
      </c>
      <c r="J16" s="178"/>
      <c r="K16" s="178"/>
      <c r="L16" s="181">
        <f>SUM(N16:R18)</f>
        <v>700</v>
      </c>
      <c r="M16" s="82" t="s">
        <v>19</v>
      </c>
      <c r="N16" s="90"/>
      <c r="O16" s="90"/>
      <c r="P16" s="90"/>
      <c r="Q16" s="90"/>
      <c r="R16" s="90"/>
    </row>
    <row r="17" spans="1:18" ht="12" customHeight="1">
      <c r="A17" s="182"/>
      <c r="B17" s="185"/>
      <c r="C17" s="185"/>
      <c r="D17" s="179"/>
      <c r="E17" s="179"/>
      <c r="F17" s="179"/>
      <c r="G17" s="179"/>
      <c r="H17" s="185"/>
      <c r="I17" s="133"/>
      <c r="J17" s="179"/>
      <c r="K17" s="179"/>
      <c r="L17" s="182"/>
      <c r="M17" s="82" t="s">
        <v>20</v>
      </c>
      <c r="N17" s="90"/>
      <c r="O17" s="90"/>
      <c r="P17" s="90"/>
      <c r="Q17" s="90"/>
      <c r="R17" s="90"/>
    </row>
    <row r="18" spans="1:18" ht="22.5" customHeight="1">
      <c r="A18" s="183"/>
      <c r="B18" s="186"/>
      <c r="C18" s="186"/>
      <c r="D18" s="180"/>
      <c r="E18" s="180"/>
      <c r="F18" s="180"/>
      <c r="G18" s="180"/>
      <c r="H18" s="186"/>
      <c r="I18" s="134"/>
      <c r="J18" s="180"/>
      <c r="K18" s="180"/>
      <c r="L18" s="183"/>
      <c r="M18" s="82" t="s">
        <v>21</v>
      </c>
      <c r="N18" s="90"/>
      <c r="O18" s="90"/>
      <c r="P18" s="90"/>
      <c r="Q18" s="90"/>
      <c r="R18" s="90">
        <v>700</v>
      </c>
    </row>
    <row r="19" spans="1:18" ht="12.75">
      <c r="A19" s="74"/>
      <c r="B19" s="75" t="s">
        <v>5</v>
      </c>
      <c r="C19" s="75"/>
      <c r="D19" s="75"/>
      <c r="E19" s="92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1:18" ht="19.5" customHeight="1">
      <c r="A20" s="181">
        <v>4</v>
      </c>
      <c r="B20" s="184" t="s">
        <v>40</v>
      </c>
      <c r="C20" s="184" t="s">
        <v>3</v>
      </c>
      <c r="D20" s="178">
        <v>1964</v>
      </c>
      <c r="E20" s="178">
        <v>20</v>
      </c>
      <c r="F20" s="178"/>
      <c r="G20" s="178" t="s">
        <v>29</v>
      </c>
      <c r="H20" s="184" t="s">
        <v>41</v>
      </c>
      <c r="I20" s="178" t="s">
        <v>296</v>
      </c>
      <c r="J20" s="178"/>
      <c r="K20" s="178"/>
      <c r="L20" s="181">
        <f>SUM(N21:R23)</f>
        <v>30</v>
      </c>
      <c r="M20" s="189" t="s">
        <v>19</v>
      </c>
      <c r="N20" s="178"/>
      <c r="O20" s="178"/>
      <c r="P20" s="178"/>
      <c r="Q20" s="178"/>
      <c r="R20" s="178"/>
    </row>
    <row r="21" spans="1:18" ht="19.5" customHeight="1">
      <c r="A21" s="182"/>
      <c r="B21" s="185"/>
      <c r="C21" s="185"/>
      <c r="D21" s="179"/>
      <c r="E21" s="179"/>
      <c r="F21" s="179"/>
      <c r="G21" s="179"/>
      <c r="H21" s="185"/>
      <c r="I21" s="179"/>
      <c r="J21" s="179"/>
      <c r="K21" s="179"/>
      <c r="L21" s="182"/>
      <c r="M21" s="190"/>
      <c r="N21" s="180"/>
      <c r="O21" s="180"/>
      <c r="P21" s="180"/>
      <c r="Q21" s="180"/>
      <c r="R21" s="180"/>
    </row>
    <row r="22" spans="1:18" ht="19.5" customHeight="1">
      <c r="A22" s="182"/>
      <c r="B22" s="185"/>
      <c r="C22" s="185"/>
      <c r="D22" s="179"/>
      <c r="E22" s="179"/>
      <c r="F22" s="179"/>
      <c r="G22" s="179"/>
      <c r="H22" s="185"/>
      <c r="I22" s="179"/>
      <c r="J22" s="179"/>
      <c r="K22" s="179"/>
      <c r="L22" s="182"/>
      <c r="M22" s="82" t="s">
        <v>20</v>
      </c>
      <c r="N22" s="90"/>
      <c r="O22" s="90"/>
      <c r="P22" s="90"/>
      <c r="Q22" s="90"/>
      <c r="R22" s="90"/>
    </row>
    <row r="23" spans="1:18" ht="19.5" customHeight="1">
      <c r="A23" s="182"/>
      <c r="B23" s="185"/>
      <c r="C23" s="185"/>
      <c r="D23" s="179"/>
      <c r="E23" s="179"/>
      <c r="F23" s="179"/>
      <c r="G23" s="179"/>
      <c r="H23" s="185"/>
      <c r="I23" s="179"/>
      <c r="J23" s="179"/>
      <c r="K23" s="179"/>
      <c r="L23" s="183"/>
      <c r="M23" s="82" t="s">
        <v>21</v>
      </c>
      <c r="N23" s="90"/>
      <c r="O23" s="90">
        <v>30</v>
      </c>
      <c r="P23" s="90"/>
      <c r="Q23" s="90"/>
      <c r="R23" s="90"/>
    </row>
    <row r="24" spans="1:18" ht="19.5" customHeight="1">
      <c r="A24" s="182"/>
      <c r="B24" s="185"/>
      <c r="C24" s="185"/>
      <c r="D24" s="179"/>
      <c r="E24" s="179"/>
      <c r="F24" s="179"/>
      <c r="G24" s="179"/>
      <c r="H24" s="185"/>
      <c r="I24" s="179"/>
      <c r="J24" s="179"/>
      <c r="K24" s="179"/>
      <c r="L24" s="182">
        <f>SUM(N24:R26)</f>
        <v>250</v>
      </c>
      <c r="M24" s="82" t="s">
        <v>19</v>
      </c>
      <c r="N24" s="90"/>
      <c r="O24" s="90"/>
      <c r="P24" s="90"/>
      <c r="Q24" s="90"/>
      <c r="R24" s="90"/>
    </row>
    <row r="25" spans="1:18" ht="19.5" customHeight="1">
      <c r="A25" s="182"/>
      <c r="B25" s="185"/>
      <c r="C25" s="185"/>
      <c r="D25" s="179"/>
      <c r="E25" s="179"/>
      <c r="F25" s="179"/>
      <c r="G25" s="179"/>
      <c r="H25" s="185"/>
      <c r="I25" s="179"/>
      <c r="J25" s="179"/>
      <c r="K25" s="179"/>
      <c r="L25" s="182"/>
      <c r="M25" s="82" t="s">
        <v>20</v>
      </c>
      <c r="N25" s="90"/>
      <c r="O25" s="90"/>
      <c r="P25" s="90">
        <v>200</v>
      </c>
      <c r="Q25" s="90"/>
      <c r="R25" s="90"/>
    </row>
    <row r="26" spans="1:18" ht="19.5" customHeight="1">
      <c r="A26" s="183"/>
      <c r="B26" s="186"/>
      <c r="C26" s="186"/>
      <c r="D26" s="180"/>
      <c r="E26" s="180"/>
      <c r="F26" s="180"/>
      <c r="G26" s="180"/>
      <c r="H26" s="186"/>
      <c r="I26" s="180"/>
      <c r="J26" s="180"/>
      <c r="K26" s="180"/>
      <c r="L26" s="183"/>
      <c r="M26" s="82" t="s">
        <v>21</v>
      </c>
      <c r="N26" s="90"/>
      <c r="O26" s="90"/>
      <c r="P26" s="90">
        <v>50</v>
      </c>
      <c r="Q26" s="90"/>
      <c r="R26" s="90"/>
    </row>
    <row r="27" spans="1:18" ht="12.75">
      <c r="A27" s="74"/>
      <c r="B27" s="75" t="s">
        <v>6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ht="10.5" customHeight="1">
      <c r="A28" s="181">
        <v>5</v>
      </c>
      <c r="B28" s="184" t="s">
        <v>42</v>
      </c>
      <c r="C28" s="184" t="s">
        <v>3</v>
      </c>
      <c r="D28" s="178">
        <v>1965</v>
      </c>
      <c r="E28" s="178">
        <v>20</v>
      </c>
      <c r="F28" s="178">
        <v>335524</v>
      </c>
      <c r="G28" s="178" t="s">
        <v>29</v>
      </c>
      <c r="H28" s="184" t="s">
        <v>27</v>
      </c>
      <c r="I28" s="178" t="s">
        <v>296</v>
      </c>
      <c r="J28" s="178"/>
      <c r="K28" s="178"/>
      <c r="L28" s="181">
        <f>SUM(N29:R31)</f>
        <v>30</v>
      </c>
      <c r="M28" s="189" t="s">
        <v>19</v>
      </c>
      <c r="N28" s="178"/>
      <c r="O28" s="178"/>
      <c r="P28" s="178"/>
      <c r="Q28" s="178"/>
      <c r="R28" s="178"/>
    </row>
    <row r="29" spans="1:18" ht="10.5" customHeight="1">
      <c r="A29" s="182"/>
      <c r="B29" s="185"/>
      <c r="C29" s="185"/>
      <c r="D29" s="179"/>
      <c r="E29" s="179"/>
      <c r="F29" s="179"/>
      <c r="G29" s="179"/>
      <c r="H29" s="185"/>
      <c r="I29" s="179"/>
      <c r="J29" s="179"/>
      <c r="K29" s="179"/>
      <c r="L29" s="182"/>
      <c r="M29" s="190"/>
      <c r="N29" s="180"/>
      <c r="O29" s="180"/>
      <c r="P29" s="180"/>
      <c r="Q29" s="180"/>
      <c r="R29" s="180"/>
    </row>
    <row r="30" spans="1:18" ht="10.5" customHeight="1">
      <c r="A30" s="182"/>
      <c r="B30" s="185"/>
      <c r="C30" s="185"/>
      <c r="D30" s="179"/>
      <c r="E30" s="179"/>
      <c r="F30" s="179"/>
      <c r="G30" s="179"/>
      <c r="H30" s="185"/>
      <c r="I30" s="179"/>
      <c r="J30" s="179"/>
      <c r="K30" s="179"/>
      <c r="L30" s="182"/>
      <c r="M30" s="82" t="s">
        <v>31</v>
      </c>
      <c r="N30" s="90"/>
      <c r="O30" s="90"/>
      <c r="P30" s="90"/>
      <c r="Q30" s="90"/>
      <c r="R30" s="90"/>
    </row>
    <row r="31" spans="1:18" ht="10.5" customHeight="1">
      <c r="A31" s="182"/>
      <c r="B31" s="185"/>
      <c r="C31" s="185"/>
      <c r="D31" s="179"/>
      <c r="E31" s="179"/>
      <c r="F31" s="179"/>
      <c r="G31" s="179"/>
      <c r="H31" s="185"/>
      <c r="I31" s="179"/>
      <c r="J31" s="179"/>
      <c r="K31" s="179"/>
      <c r="L31" s="183"/>
      <c r="M31" s="82" t="s">
        <v>21</v>
      </c>
      <c r="N31" s="90"/>
      <c r="O31" s="90">
        <v>30</v>
      </c>
      <c r="P31" s="90"/>
      <c r="Q31" s="90"/>
      <c r="R31" s="90"/>
    </row>
    <row r="32" spans="1:18" ht="10.5" customHeight="1">
      <c r="A32" s="182"/>
      <c r="B32" s="185"/>
      <c r="C32" s="185"/>
      <c r="D32" s="179"/>
      <c r="E32" s="179"/>
      <c r="F32" s="179"/>
      <c r="G32" s="179"/>
      <c r="H32" s="185"/>
      <c r="I32" s="179"/>
      <c r="J32" s="179"/>
      <c r="K32" s="179"/>
      <c r="L32" s="182">
        <f>SUM(N32:R34)</f>
        <v>400</v>
      </c>
      <c r="M32" s="82" t="s">
        <v>19</v>
      </c>
      <c r="N32" s="90"/>
      <c r="O32" s="90"/>
      <c r="P32" s="90"/>
      <c r="Q32" s="90"/>
      <c r="R32" s="90"/>
    </row>
    <row r="33" spans="1:18" ht="10.5" customHeight="1">
      <c r="A33" s="182"/>
      <c r="B33" s="185"/>
      <c r="C33" s="185"/>
      <c r="D33" s="179"/>
      <c r="E33" s="179"/>
      <c r="F33" s="179"/>
      <c r="G33" s="179"/>
      <c r="H33" s="185"/>
      <c r="I33" s="179"/>
      <c r="J33" s="179"/>
      <c r="K33" s="179"/>
      <c r="L33" s="182"/>
      <c r="M33" s="82" t="s">
        <v>31</v>
      </c>
      <c r="N33" s="90"/>
      <c r="O33" s="90"/>
      <c r="P33" s="90"/>
      <c r="Q33" s="90"/>
      <c r="R33" s="90"/>
    </row>
    <row r="34" spans="1:18" ht="10.5" customHeight="1">
      <c r="A34" s="183"/>
      <c r="B34" s="186"/>
      <c r="C34" s="186"/>
      <c r="D34" s="180"/>
      <c r="E34" s="180"/>
      <c r="F34" s="180"/>
      <c r="G34" s="180"/>
      <c r="H34" s="186"/>
      <c r="I34" s="180"/>
      <c r="J34" s="180"/>
      <c r="K34" s="180"/>
      <c r="L34" s="183"/>
      <c r="M34" s="82" t="s">
        <v>21</v>
      </c>
      <c r="N34" s="90"/>
      <c r="O34" s="90"/>
      <c r="P34" s="90">
        <v>400</v>
      </c>
      <c r="Q34" s="90"/>
      <c r="R34" s="90"/>
    </row>
    <row r="35" spans="1:18" ht="12.75">
      <c r="A35" s="74"/>
      <c r="B35" s="82"/>
      <c r="C35" s="82"/>
      <c r="D35" s="74"/>
      <c r="E35" s="74"/>
      <c r="F35" s="74"/>
      <c r="G35" s="74"/>
      <c r="H35" s="74"/>
      <c r="I35" s="74"/>
      <c r="J35" s="74"/>
      <c r="K35" s="74"/>
      <c r="L35" s="74"/>
      <c r="M35" s="82"/>
      <c r="N35" s="74"/>
      <c r="O35" s="74"/>
      <c r="P35" s="74"/>
      <c r="Q35" s="74"/>
      <c r="R35" s="74"/>
    </row>
    <row r="36" spans="1:18" ht="12.75">
      <c r="A36" s="74"/>
      <c r="B36" s="75" t="s">
        <v>7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1:18" ht="7.5" customHeight="1">
      <c r="A37" s="181">
        <v>6</v>
      </c>
      <c r="B37" s="184" t="s">
        <v>45</v>
      </c>
      <c r="C37" s="184" t="s">
        <v>3</v>
      </c>
      <c r="D37" s="178">
        <v>1970</v>
      </c>
      <c r="E37" s="178">
        <v>20</v>
      </c>
      <c r="F37" s="178">
        <v>349309</v>
      </c>
      <c r="G37" s="178" t="s">
        <v>29</v>
      </c>
      <c r="H37" s="178" t="s">
        <v>27</v>
      </c>
      <c r="I37" s="178" t="s">
        <v>296</v>
      </c>
      <c r="J37" s="178"/>
      <c r="K37" s="178"/>
      <c r="L37" s="181">
        <f>SUM(N38:R40)</f>
        <v>30</v>
      </c>
      <c r="M37" s="92"/>
      <c r="N37" s="74"/>
      <c r="O37" s="74"/>
      <c r="P37" s="74"/>
      <c r="Q37" s="74"/>
      <c r="R37" s="74"/>
    </row>
    <row r="38" spans="1:18" ht="9.75" customHeight="1">
      <c r="A38" s="182"/>
      <c r="B38" s="185"/>
      <c r="C38" s="185"/>
      <c r="D38" s="179"/>
      <c r="E38" s="179"/>
      <c r="F38" s="179"/>
      <c r="G38" s="179"/>
      <c r="H38" s="179"/>
      <c r="I38" s="179"/>
      <c r="J38" s="179"/>
      <c r="K38" s="179"/>
      <c r="L38" s="187"/>
      <c r="M38" s="82" t="s">
        <v>19</v>
      </c>
      <c r="N38" s="90"/>
      <c r="O38" s="90"/>
      <c r="P38" s="90"/>
      <c r="Q38" s="90"/>
      <c r="R38" s="90"/>
    </row>
    <row r="39" spans="1:18" ht="9.75" customHeight="1">
      <c r="A39" s="182"/>
      <c r="B39" s="185"/>
      <c r="C39" s="185"/>
      <c r="D39" s="179"/>
      <c r="E39" s="179"/>
      <c r="F39" s="179"/>
      <c r="G39" s="179"/>
      <c r="H39" s="179"/>
      <c r="I39" s="179"/>
      <c r="J39" s="179"/>
      <c r="K39" s="179"/>
      <c r="L39" s="187"/>
      <c r="M39" s="82" t="s">
        <v>20</v>
      </c>
      <c r="N39" s="90"/>
      <c r="O39" s="91"/>
      <c r="P39" s="90"/>
      <c r="Q39" s="90"/>
      <c r="R39" s="90"/>
    </row>
    <row r="40" spans="1:18" ht="9.75" customHeight="1">
      <c r="A40" s="182"/>
      <c r="B40" s="185"/>
      <c r="C40" s="185"/>
      <c r="D40" s="179"/>
      <c r="E40" s="179"/>
      <c r="F40" s="179"/>
      <c r="G40" s="179"/>
      <c r="H40" s="179"/>
      <c r="I40" s="179"/>
      <c r="J40" s="179"/>
      <c r="K40" s="179"/>
      <c r="L40" s="188"/>
      <c r="M40" s="82" t="s">
        <v>21</v>
      </c>
      <c r="N40" s="90"/>
      <c r="O40" s="90">
        <v>30</v>
      </c>
      <c r="P40" s="90"/>
      <c r="Q40" s="90"/>
      <c r="R40" s="90"/>
    </row>
    <row r="41" spans="1:18" ht="9.75" customHeight="1">
      <c r="A41" s="182"/>
      <c r="B41" s="185"/>
      <c r="C41" s="185"/>
      <c r="D41" s="179"/>
      <c r="E41" s="179"/>
      <c r="F41" s="179"/>
      <c r="G41" s="179"/>
      <c r="H41" s="179"/>
      <c r="I41" s="179"/>
      <c r="J41" s="179"/>
      <c r="K41" s="179"/>
      <c r="L41" s="182">
        <f>SUM(N41:R43)</f>
        <v>400</v>
      </c>
      <c r="M41" s="82" t="s">
        <v>19</v>
      </c>
      <c r="N41" s="90"/>
      <c r="O41" s="90"/>
      <c r="P41" s="90"/>
      <c r="Q41" s="91"/>
      <c r="R41" s="90"/>
    </row>
    <row r="42" spans="1:18" ht="9.75" customHeight="1">
      <c r="A42" s="182"/>
      <c r="B42" s="185"/>
      <c r="C42" s="185"/>
      <c r="D42" s="179"/>
      <c r="E42" s="179"/>
      <c r="F42" s="179"/>
      <c r="G42" s="179"/>
      <c r="H42" s="179"/>
      <c r="I42" s="179"/>
      <c r="J42" s="179"/>
      <c r="K42" s="179"/>
      <c r="L42" s="182"/>
      <c r="M42" s="82" t="s">
        <v>20</v>
      </c>
      <c r="N42" s="90"/>
      <c r="O42" s="90"/>
      <c r="P42" s="90"/>
      <c r="Q42" s="90"/>
      <c r="R42" s="90"/>
    </row>
    <row r="43" spans="1:18" ht="9.75" customHeight="1">
      <c r="A43" s="183"/>
      <c r="B43" s="186"/>
      <c r="C43" s="186"/>
      <c r="D43" s="180"/>
      <c r="E43" s="180"/>
      <c r="F43" s="180"/>
      <c r="G43" s="180"/>
      <c r="H43" s="180"/>
      <c r="I43" s="180"/>
      <c r="J43" s="180"/>
      <c r="K43" s="180"/>
      <c r="L43" s="183"/>
      <c r="M43" s="82" t="s">
        <v>21</v>
      </c>
      <c r="N43" s="90"/>
      <c r="O43" s="90"/>
      <c r="P43" s="90"/>
      <c r="Q43" s="90">
        <v>400</v>
      </c>
      <c r="R43" s="90"/>
    </row>
    <row r="44" spans="1:18" ht="12.75">
      <c r="A44" s="74"/>
      <c r="B44" s="75" t="s">
        <v>8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1:18" ht="8.25" customHeight="1">
      <c r="A45" s="181">
        <v>7</v>
      </c>
      <c r="B45" s="184" t="s">
        <v>43</v>
      </c>
      <c r="C45" s="184" t="s">
        <v>3</v>
      </c>
      <c r="D45" s="178">
        <v>1970</v>
      </c>
      <c r="E45" s="178">
        <v>20</v>
      </c>
      <c r="F45" s="178">
        <v>370178</v>
      </c>
      <c r="G45" s="178" t="s">
        <v>29</v>
      </c>
      <c r="H45" s="184" t="s">
        <v>41</v>
      </c>
      <c r="I45" s="178" t="s">
        <v>296</v>
      </c>
      <c r="J45" s="178"/>
      <c r="K45" s="178"/>
      <c r="L45" s="181">
        <f>SUM(N46:R48)</f>
        <v>30</v>
      </c>
      <c r="M45" s="92"/>
      <c r="N45" s="74"/>
      <c r="O45" s="74"/>
      <c r="P45" s="74"/>
      <c r="Q45" s="74"/>
      <c r="R45" s="74"/>
    </row>
    <row r="46" spans="1:18" ht="20.25" customHeight="1">
      <c r="A46" s="182"/>
      <c r="B46" s="185"/>
      <c r="C46" s="185"/>
      <c r="D46" s="179"/>
      <c r="E46" s="179"/>
      <c r="F46" s="179"/>
      <c r="G46" s="179"/>
      <c r="H46" s="185"/>
      <c r="I46" s="179"/>
      <c r="J46" s="179"/>
      <c r="K46" s="179"/>
      <c r="L46" s="182"/>
      <c r="M46" s="82" t="s">
        <v>19</v>
      </c>
      <c r="N46" s="90"/>
      <c r="O46" s="90"/>
      <c r="P46" s="90"/>
      <c r="Q46" s="90"/>
      <c r="R46" s="90"/>
    </row>
    <row r="47" spans="1:18" ht="20.25" customHeight="1">
      <c r="A47" s="182"/>
      <c r="B47" s="185"/>
      <c r="C47" s="185"/>
      <c r="D47" s="179"/>
      <c r="E47" s="179"/>
      <c r="F47" s="179"/>
      <c r="G47" s="179"/>
      <c r="H47" s="185"/>
      <c r="I47" s="179"/>
      <c r="J47" s="179"/>
      <c r="K47" s="179"/>
      <c r="L47" s="182"/>
      <c r="M47" s="82" t="s">
        <v>20</v>
      </c>
      <c r="N47" s="90"/>
      <c r="O47" s="90"/>
      <c r="P47" s="90"/>
      <c r="Q47" s="90"/>
      <c r="R47" s="90"/>
    </row>
    <row r="48" spans="1:18" ht="20.25" customHeight="1">
      <c r="A48" s="182"/>
      <c r="B48" s="185"/>
      <c r="C48" s="185"/>
      <c r="D48" s="179"/>
      <c r="E48" s="179"/>
      <c r="F48" s="179"/>
      <c r="G48" s="179"/>
      <c r="H48" s="185"/>
      <c r="I48" s="179"/>
      <c r="J48" s="179"/>
      <c r="K48" s="179"/>
      <c r="L48" s="183"/>
      <c r="M48" s="82" t="s">
        <v>21</v>
      </c>
      <c r="N48" s="90"/>
      <c r="O48" s="90">
        <v>30</v>
      </c>
      <c r="P48" s="90"/>
      <c r="Q48" s="90"/>
      <c r="R48" s="90"/>
    </row>
    <row r="49" spans="1:18" ht="20.25" customHeight="1">
      <c r="A49" s="182"/>
      <c r="B49" s="185"/>
      <c r="C49" s="185"/>
      <c r="D49" s="179"/>
      <c r="E49" s="179"/>
      <c r="F49" s="179"/>
      <c r="G49" s="179"/>
      <c r="H49" s="185"/>
      <c r="I49" s="179"/>
      <c r="J49" s="179"/>
      <c r="K49" s="179"/>
      <c r="L49" s="181">
        <f>SUM(N49:R51)</f>
        <v>400</v>
      </c>
      <c r="M49" s="82" t="s">
        <v>19</v>
      </c>
      <c r="N49" s="90"/>
      <c r="O49" s="90"/>
      <c r="P49" s="90"/>
      <c r="Q49" s="91"/>
      <c r="R49" s="90"/>
    </row>
    <row r="50" spans="1:18" ht="20.25" customHeight="1">
      <c r="A50" s="182"/>
      <c r="B50" s="185"/>
      <c r="C50" s="185"/>
      <c r="D50" s="179"/>
      <c r="E50" s="179"/>
      <c r="F50" s="179"/>
      <c r="G50" s="179"/>
      <c r="H50" s="185"/>
      <c r="I50" s="179"/>
      <c r="J50" s="179"/>
      <c r="K50" s="179"/>
      <c r="L50" s="182"/>
      <c r="M50" s="82" t="s">
        <v>20</v>
      </c>
      <c r="N50" s="90"/>
      <c r="O50" s="90"/>
      <c r="P50" s="90"/>
      <c r="Q50" s="90"/>
      <c r="R50" s="90"/>
    </row>
    <row r="51" spans="1:18" ht="20.25" customHeight="1">
      <c r="A51" s="183"/>
      <c r="B51" s="186"/>
      <c r="C51" s="186"/>
      <c r="D51" s="180"/>
      <c r="E51" s="180"/>
      <c r="F51" s="180"/>
      <c r="G51" s="180"/>
      <c r="H51" s="186"/>
      <c r="I51" s="180"/>
      <c r="J51" s="180"/>
      <c r="K51" s="180"/>
      <c r="L51" s="183"/>
      <c r="M51" s="82" t="s">
        <v>21</v>
      </c>
      <c r="N51" s="90"/>
      <c r="O51" s="90"/>
      <c r="P51" s="90"/>
      <c r="Q51" s="90">
        <v>400</v>
      </c>
      <c r="R51" s="90"/>
    </row>
    <row r="52" spans="1:18" ht="12.75">
      <c r="A52" s="74"/>
      <c r="B52" s="75" t="s">
        <v>9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82"/>
      <c r="N52" s="75"/>
      <c r="O52" s="75"/>
      <c r="P52" s="75"/>
      <c r="Q52" s="75"/>
      <c r="R52" s="75"/>
    </row>
    <row r="53" spans="1:18" ht="8.25" customHeight="1">
      <c r="A53" s="181">
        <v>8</v>
      </c>
      <c r="B53" s="184" t="s">
        <v>44</v>
      </c>
      <c r="C53" s="184" t="s">
        <v>3</v>
      </c>
      <c r="D53" s="178">
        <v>1971</v>
      </c>
      <c r="E53" s="178">
        <v>20</v>
      </c>
      <c r="F53" s="178">
        <v>50065</v>
      </c>
      <c r="G53" s="178" t="s">
        <v>29</v>
      </c>
      <c r="H53" s="178" t="s">
        <v>27</v>
      </c>
      <c r="I53" s="178" t="s">
        <v>295</v>
      </c>
      <c r="J53" s="178"/>
      <c r="K53" s="178"/>
      <c r="L53" s="181">
        <f>SUM(N54:R56)</f>
        <v>30</v>
      </c>
      <c r="M53" s="92"/>
      <c r="N53" s="74"/>
      <c r="O53" s="74"/>
      <c r="P53" s="74"/>
      <c r="Q53" s="74"/>
      <c r="R53" s="74"/>
    </row>
    <row r="54" spans="1:18" ht="14.25" customHeight="1">
      <c r="A54" s="182"/>
      <c r="B54" s="185"/>
      <c r="C54" s="185"/>
      <c r="D54" s="179"/>
      <c r="E54" s="179"/>
      <c r="F54" s="179"/>
      <c r="G54" s="179"/>
      <c r="H54" s="179"/>
      <c r="I54" s="179"/>
      <c r="J54" s="179"/>
      <c r="K54" s="179"/>
      <c r="L54" s="182"/>
      <c r="M54" s="82" t="s">
        <v>19</v>
      </c>
      <c r="N54" s="90"/>
      <c r="O54" s="90"/>
      <c r="P54" s="90"/>
      <c r="Q54" s="90"/>
      <c r="R54" s="90"/>
    </row>
    <row r="55" spans="1:18" ht="12.75">
      <c r="A55" s="182"/>
      <c r="B55" s="185"/>
      <c r="C55" s="185"/>
      <c r="D55" s="179"/>
      <c r="E55" s="179"/>
      <c r="F55" s="179"/>
      <c r="G55" s="179"/>
      <c r="H55" s="179"/>
      <c r="I55" s="179"/>
      <c r="J55" s="179"/>
      <c r="K55" s="179"/>
      <c r="L55" s="182"/>
      <c r="M55" s="82" t="s">
        <v>20</v>
      </c>
      <c r="N55" s="90"/>
      <c r="O55" s="90"/>
      <c r="P55" s="90"/>
      <c r="Q55" s="90"/>
      <c r="R55" s="90"/>
    </row>
    <row r="56" spans="1:18" ht="12.75">
      <c r="A56" s="182"/>
      <c r="B56" s="185"/>
      <c r="C56" s="185"/>
      <c r="D56" s="179"/>
      <c r="E56" s="179"/>
      <c r="F56" s="179"/>
      <c r="G56" s="179"/>
      <c r="H56" s="179"/>
      <c r="I56" s="179"/>
      <c r="J56" s="179"/>
      <c r="K56" s="179"/>
      <c r="L56" s="183"/>
      <c r="M56" s="82" t="s">
        <v>21</v>
      </c>
      <c r="N56" s="90"/>
      <c r="O56" s="90">
        <v>30</v>
      </c>
      <c r="P56" s="90"/>
      <c r="Q56" s="90"/>
      <c r="R56" s="90"/>
    </row>
    <row r="57" spans="1:18" ht="12.75">
      <c r="A57" s="182"/>
      <c r="B57" s="185"/>
      <c r="C57" s="185"/>
      <c r="D57" s="179"/>
      <c r="E57" s="179"/>
      <c r="F57" s="179"/>
      <c r="G57" s="179"/>
      <c r="H57" s="179"/>
      <c r="I57" s="179"/>
      <c r="J57" s="179"/>
      <c r="K57" s="179"/>
      <c r="L57" s="181">
        <f>SUM(N57:R59)</f>
        <v>400</v>
      </c>
      <c r="M57" s="82" t="s">
        <v>19</v>
      </c>
      <c r="N57" s="90"/>
      <c r="O57" s="90"/>
      <c r="P57" s="90"/>
      <c r="Q57" s="90"/>
      <c r="R57" s="90"/>
    </row>
    <row r="58" spans="1:18" ht="12.75">
      <c r="A58" s="182"/>
      <c r="B58" s="185"/>
      <c r="C58" s="185"/>
      <c r="D58" s="179"/>
      <c r="E58" s="179"/>
      <c r="F58" s="179"/>
      <c r="G58" s="179"/>
      <c r="H58" s="179"/>
      <c r="I58" s="179"/>
      <c r="J58" s="179"/>
      <c r="K58" s="179"/>
      <c r="L58" s="182"/>
      <c r="M58" s="82" t="s">
        <v>20</v>
      </c>
      <c r="N58" s="90"/>
      <c r="O58" s="90"/>
      <c r="P58" s="90"/>
      <c r="Q58" s="90"/>
      <c r="R58" s="90"/>
    </row>
    <row r="59" spans="1:18" ht="12.75">
      <c r="A59" s="183"/>
      <c r="B59" s="186"/>
      <c r="C59" s="186"/>
      <c r="D59" s="180"/>
      <c r="E59" s="180"/>
      <c r="F59" s="180"/>
      <c r="G59" s="180"/>
      <c r="H59" s="180"/>
      <c r="I59" s="180"/>
      <c r="J59" s="180"/>
      <c r="K59" s="180"/>
      <c r="L59" s="183"/>
      <c r="M59" s="82" t="s">
        <v>21</v>
      </c>
      <c r="N59" s="90"/>
      <c r="O59" s="90"/>
      <c r="P59" s="90"/>
      <c r="Q59" s="90"/>
      <c r="R59" s="90">
        <v>400</v>
      </c>
    </row>
    <row r="60" spans="1:18" ht="38.25">
      <c r="A60" s="74"/>
      <c r="B60" s="75" t="s">
        <v>49</v>
      </c>
      <c r="C60" s="82"/>
      <c r="D60" s="74"/>
      <c r="E60" s="74"/>
      <c r="F60" s="74">
        <v>2327143</v>
      </c>
      <c r="G60" s="74" t="s">
        <v>29</v>
      </c>
      <c r="H60" s="74"/>
      <c r="I60" s="74"/>
      <c r="J60" s="74"/>
      <c r="K60" s="74"/>
      <c r="L60" s="74"/>
      <c r="M60" s="82"/>
      <c r="N60" s="74"/>
      <c r="O60" s="74"/>
      <c r="P60" s="74"/>
      <c r="Q60" s="74"/>
      <c r="R60" s="74"/>
    </row>
    <row r="61" spans="1:18" ht="56.25" customHeight="1" hidden="1">
      <c r="A61" s="181">
        <v>9</v>
      </c>
      <c r="B61" s="184" t="s">
        <v>273</v>
      </c>
      <c r="C61" s="184" t="s">
        <v>3</v>
      </c>
      <c r="D61" s="178">
        <v>1987</v>
      </c>
      <c r="E61" s="178">
        <v>40</v>
      </c>
      <c r="F61" s="178"/>
      <c r="G61" s="178" t="s">
        <v>29</v>
      </c>
      <c r="H61" s="184" t="s">
        <v>46</v>
      </c>
      <c r="I61" s="73"/>
      <c r="J61" s="178"/>
      <c r="K61" s="178"/>
      <c r="L61" s="181">
        <f>SUM(N62:R64)</f>
        <v>1790</v>
      </c>
      <c r="M61" s="82"/>
      <c r="N61" s="74"/>
      <c r="O61" s="74"/>
      <c r="P61" s="74"/>
      <c r="Q61" s="74"/>
      <c r="R61" s="74"/>
    </row>
    <row r="62" spans="1:18" ht="21.75" customHeight="1">
      <c r="A62" s="182"/>
      <c r="B62" s="185"/>
      <c r="C62" s="185"/>
      <c r="D62" s="179"/>
      <c r="E62" s="179"/>
      <c r="F62" s="179"/>
      <c r="G62" s="179"/>
      <c r="H62" s="185"/>
      <c r="I62" s="179" t="s">
        <v>295</v>
      </c>
      <c r="J62" s="179"/>
      <c r="K62" s="179"/>
      <c r="L62" s="182"/>
      <c r="M62" s="82" t="s">
        <v>19</v>
      </c>
      <c r="N62" s="90"/>
      <c r="O62" s="90"/>
      <c r="P62" s="90"/>
      <c r="Q62" s="90"/>
      <c r="R62" s="90"/>
    </row>
    <row r="63" spans="1:18" ht="21.75" customHeight="1">
      <c r="A63" s="182"/>
      <c r="B63" s="185"/>
      <c r="C63" s="185"/>
      <c r="D63" s="179"/>
      <c r="E63" s="179"/>
      <c r="F63" s="179"/>
      <c r="G63" s="179"/>
      <c r="H63" s="185"/>
      <c r="I63" s="179"/>
      <c r="J63" s="179"/>
      <c r="K63" s="179"/>
      <c r="L63" s="182"/>
      <c r="M63" s="82" t="s">
        <v>20</v>
      </c>
      <c r="N63" s="90"/>
      <c r="O63" s="90"/>
      <c r="P63" s="90"/>
      <c r="Q63" s="90"/>
      <c r="R63" s="90">
        <f>690-260</f>
        <v>430</v>
      </c>
    </row>
    <row r="64" spans="1:18" ht="21.75" customHeight="1">
      <c r="A64" s="183"/>
      <c r="B64" s="186"/>
      <c r="C64" s="186"/>
      <c r="D64" s="180"/>
      <c r="E64" s="180"/>
      <c r="F64" s="180"/>
      <c r="G64" s="180"/>
      <c r="H64" s="186"/>
      <c r="I64" s="180"/>
      <c r="J64" s="180"/>
      <c r="K64" s="180"/>
      <c r="L64" s="183"/>
      <c r="M64" s="82" t="s">
        <v>21</v>
      </c>
      <c r="N64" s="90">
        <v>50</v>
      </c>
      <c r="O64" s="90"/>
      <c r="P64" s="90"/>
      <c r="Q64" s="90"/>
      <c r="R64" s="90">
        <f>1050+260</f>
        <v>1310</v>
      </c>
    </row>
    <row r="65" spans="1:18" ht="38.25">
      <c r="A65" s="74"/>
      <c r="B65" s="75" t="s">
        <v>10</v>
      </c>
      <c r="C65" s="82" t="s">
        <v>3</v>
      </c>
      <c r="D65" s="74">
        <v>1987</v>
      </c>
      <c r="E65" s="74">
        <v>25</v>
      </c>
      <c r="F65" s="74">
        <v>415391</v>
      </c>
      <c r="G65" s="74" t="s">
        <v>29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8" ht="33.75" customHeight="1" hidden="1">
      <c r="A66" s="181">
        <v>10</v>
      </c>
      <c r="B66" s="184" t="s">
        <v>52</v>
      </c>
      <c r="C66" s="91"/>
      <c r="D66" s="90"/>
      <c r="E66" s="178">
        <f>E65</f>
        <v>25</v>
      </c>
      <c r="F66" s="184" t="s">
        <v>50</v>
      </c>
      <c r="G66" s="184" t="s">
        <v>29</v>
      </c>
      <c r="H66" s="184" t="s">
        <v>28</v>
      </c>
      <c r="I66" s="73"/>
      <c r="J66" s="178"/>
      <c r="K66" s="178"/>
      <c r="L66" s="181">
        <f>SUM(N67:R69)</f>
        <v>250</v>
      </c>
      <c r="M66" s="92"/>
      <c r="N66" s="74"/>
      <c r="O66" s="74"/>
      <c r="P66" s="74"/>
      <c r="Q66" s="74"/>
      <c r="R66" s="74"/>
    </row>
    <row r="67" spans="1:18" ht="20.25" customHeight="1">
      <c r="A67" s="182"/>
      <c r="B67" s="185"/>
      <c r="C67" s="184" t="str">
        <f>C65</f>
        <v>Энергоуправление РФЯЦ-ВНИИЭФ ЦГУС </v>
      </c>
      <c r="D67" s="178">
        <f>D65</f>
        <v>1987</v>
      </c>
      <c r="E67" s="179"/>
      <c r="F67" s="185"/>
      <c r="G67" s="185"/>
      <c r="H67" s="185"/>
      <c r="I67" s="179" t="s">
        <v>295</v>
      </c>
      <c r="J67" s="179"/>
      <c r="K67" s="179"/>
      <c r="L67" s="182"/>
      <c r="M67" s="82" t="s">
        <v>19</v>
      </c>
      <c r="N67" s="90"/>
      <c r="O67" s="90"/>
      <c r="P67" s="90"/>
      <c r="Q67" s="90"/>
      <c r="R67" s="90"/>
    </row>
    <row r="68" spans="1:18" ht="20.25" customHeight="1">
      <c r="A68" s="182"/>
      <c r="B68" s="185"/>
      <c r="C68" s="185"/>
      <c r="D68" s="179"/>
      <c r="E68" s="179"/>
      <c r="F68" s="185"/>
      <c r="G68" s="185"/>
      <c r="H68" s="185"/>
      <c r="I68" s="179"/>
      <c r="J68" s="179"/>
      <c r="K68" s="179"/>
      <c r="L68" s="182"/>
      <c r="M68" s="82" t="s">
        <v>20</v>
      </c>
      <c r="N68" s="90"/>
      <c r="O68" s="90"/>
      <c r="P68" s="90"/>
      <c r="Q68" s="90"/>
      <c r="R68" s="90"/>
    </row>
    <row r="69" spans="1:18" ht="20.25" customHeight="1">
      <c r="A69" s="183"/>
      <c r="B69" s="186"/>
      <c r="C69" s="186"/>
      <c r="D69" s="180"/>
      <c r="E69" s="180"/>
      <c r="F69" s="186"/>
      <c r="G69" s="186"/>
      <c r="H69" s="186"/>
      <c r="I69" s="180"/>
      <c r="J69" s="180"/>
      <c r="K69" s="180"/>
      <c r="L69" s="183"/>
      <c r="M69" s="82" t="s">
        <v>21</v>
      </c>
      <c r="N69" s="90">
        <v>250</v>
      </c>
      <c r="O69" s="90"/>
      <c r="P69" s="90"/>
      <c r="Q69" s="90"/>
      <c r="R69" s="90"/>
    </row>
    <row r="70" spans="1:18" ht="56.25" customHeight="1" hidden="1">
      <c r="A70" s="181">
        <v>11</v>
      </c>
      <c r="B70" s="184" t="s">
        <v>53</v>
      </c>
      <c r="C70" s="93" t="s">
        <v>3</v>
      </c>
      <c r="D70" s="90">
        <v>1987</v>
      </c>
      <c r="E70" s="178">
        <v>25</v>
      </c>
      <c r="F70" s="184" t="s">
        <v>50</v>
      </c>
      <c r="G70" s="178" t="s">
        <v>29</v>
      </c>
      <c r="H70" s="184" t="s">
        <v>47</v>
      </c>
      <c r="I70" s="73"/>
      <c r="J70" s="178"/>
      <c r="K70" s="178"/>
      <c r="L70" s="181">
        <f>SUM(N71:R73)</f>
        <v>3230</v>
      </c>
      <c r="M70" s="82"/>
      <c r="N70" s="74"/>
      <c r="O70" s="74"/>
      <c r="P70" s="74"/>
      <c r="Q70" s="74"/>
      <c r="R70" s="74"/>
    </row>
    <row r="71" spans="1:18" ht="26.25" customHeight="1">
      <c r="A71" s="182"/>
      <c r="B71" s="185"/>
      <c r="C71" s="184" t="str">
        <f>C65</f>
        <v>Энергоуправление РФЯЦ-ВНИИЭФ ЦГУС </v>
      </c>
      <c r="D71" s="178">
        <f>D65</f>
        <v>1987</v>
      </c>
      <c r="E71" s="179"/>
      <c r="F71" s="185"/>
      <c r="G71" s="179"/>
      <c r="H71" s="185"/>
      <c r="I71" s="179" t="s">
        <v>296</v>
      </c>
      <c r="J71" s="179"/>
      <c r="K71" s="179"/>
      <c r="L71" s="182"/>
      <c r="M71" s="82" t="s">
        <v>19</v>
      </c>
      <c r="N71" s="91"/>
      <c r="O71" s="90"/>
      <c r="P71" s="90"/>
      <c r="Q71" s="90"/>
      <c r="R71" s="90"/>
    </row>
    <row r="72" spans="1:18" ht="26.25" customHeight="1">
      <c r="A72" s="182"/>
      <c r="B72" s="185"/>
      <c r="C72" s="185"/>
      <c r="D72" s="179"/>
      <c r="E72" s="179"/>
      <c r="F72" s="185"/>
      <c r="G72" s="179"/>
      <c r="H72" s="185"/>
      <c r="I72" s="179"/>
      <c r="J72" s="179"/>
      <c r="K72" s="179"/>
      <c r="L72" s="182"/>
      <c r="M72" s="82" t="s">
        <v>20</v>
      </c>
      <c r="N72" s="90"/>
      <c r="O72" s="90"/>
      <c r="P72" s="90"/>
      <c r="Q72" s="90"/>
      <c r="R72" s="90"/>
    </row>
    <row r="73" spans="1:18" ht="26.25" customHeight="1">
      <c r="A73" s="183"/>
      <c r="B73" s="186"/>
      <c r="C73" s="186"/>
      <c r="D73" s="180"/>
      <c r="E73" s="180"/>
      <c r="F73" s="186"/>
      <c r="G73" s="180"/>
      <c r="H73" s="186"/>
      <c r="I73" s="180"/>
      <c r="J73" s="180"/>
      <c r="K73" s="180"/>
      <c r="L73" s="183"/>
      <c r="M73" s="82" t="s">
        <v>21</v>
      </c>
      <c r="N73" s="90"/>
      <c r="O73" s="90">
        <v>200</v>
      </c>
      <c r="P73" s="90">
        <v>1500</v>
      </c>
      <c r="Q73" s="90">
        <f>300+1230</f>
        <v>1530</v>
      </c>
      <c r="R73" s="90"/>
    </row>
    <row r="74" spans="1:18" ht="56.25" customHeight="1" hidden="1">
      <c r="A74" s="181">
        <v>12</v>
      </c>
      <c r="B74" s="184" t="s">
        <v>48</v>
      </c>
      <c r="C74" s="93"/>
      <c r="D74" s="90">
        <v>1987</v>
      </c>
      <c r="E74" s="178">
        <f>E65</f>
        <v>25</v>
      </c>
      <c r="F74" s="184" t="s">
        <v>50</v>
      </c>
      <c r="G74" s="178" t="s">
        <v>29</v>
      </c>
      <c r="H74" s="178"/>
      <c r="I74" s="73"/>
      <c r="J74" s="178"/>
      <c r="K74" s="178"/>
      <c r="L74" s="181">
        <f>SUM(N75:R77)</f>
        <v>2800</v>
      </c>
      <c r="M74" s="82"/>
      <c r="N74" s="74"/>
      <c r="O74" s="74"/>
      <c r="P74" s="74"/>
      <c r="Q74" s="74"/>
      <c r="R74" s="74"/>
    </row>
    <row r="75" spans="1:18" ht="27" customHeight="1">
      <c r="A75" s="182"/>
      <c r="B75" s="185"/>
      <c r="C75" s="184" t="str">
        <f>C65</f>
        <v>Энергоуправление РФЯЦ-ВНИИЭФ ЦГУС </v>
      </c>
      <c r="D75" s="178">
        <f>D65</f>
        <v>1987</v>
      </c>
      <c r="E75" s="179"/>
      <c r="F75" s="185"/>
      <c r="G75" s="179"/>
      <c r="H75" s="179"/>
      <c r="I75" s="179" t="s">
        <v>296</v>
      </c>
      <c r="J75" s="179"/>
      <c r="K75" s="179"/>
      <c r="L75" s="182"/>
      <c r="M75" s="82" t="s">
        <v>19</v>
      </c>
      <c r="N75" s="90"/>
      <c r="O75" s="90"/>
      <c r="P75" s="90"/>
      <c r="Q75" s="90"/>
      <c r="R75" s="90"/>
    </row>
    <row r="76" spans="1:18" ht="27" customHeight="1">
      <c r="A76" s="182"/>
      <c r="B76" s="185"/>
      <c r="C76" s="185"/>
      <c r="D76" s="179"/>
      <c r="E76" s="179"/>
      <c r="F76" s="185"/>
      <c r="G76" s="179"/>
      <c r="H76" s="179"/>
      <c r="I76" s="179"/>
      <c r="J76" s="179"/>
      <c r="K76" s="179"/>
      <c r="L76" s="182"/>
      <c r="M76" s="82" t="s">
        <v>20</v>
      </c>
      <c r="N76" s="90"/>
      <c r="O76" s="90">
        <v>470</v>
      </c>
      <c r="P76" s="90"/>
      <c r="Q76" s="90"/>
      <c r="R76" s="90"/>
    </row>
    <row r="77" spans="1:18" ht="27" customHeight="1">
      <c r="A77" s="183"/>
      <c r="B77" s="186"/>
      <c r="C77" s="186"/>
      <c r="D77" s="180"/>
      <c r="E77" s="180"/>
      <c r="F77" s="186"/>
      <c r="G77" s="180"/>
      <c r="H77" s="180"/>
      <c r="I77" s="180"/>
      <c r="J77" s="180"/>
      <c r="K77" s="180"/>
      <c r="L77" s="183"/>
      <c r="M77" s="82" t="s">
        <v>21</v>
      </c>
      <c r="N77" s="90">
        <v>200</v>
      </c>
      <c r="O77" s="90">
        <f>1150*2-470</f>
        <v>1830</v>
      </c>
      <c r="P77" s="90">
        <v>300</v>
      </c>
      <c r="Q77" s="90"/>
      <c r="R77" s="90"/>
    </row>
    <row r="79" spans="1:20" ht="18.75" customHeight="1">
      <c r="A79" s="74"/>
      <c r="B79" s="75" t="s">
        <v>19</v>
      </c>
      <c r="C79" s="74"/>
      <c r="D79" s="74"/>
      <c r="E79" s="74"/>
      <c r="F79" s="74"/>
      <c r="G79" s="75"/>
      <c r="H79" s="75"/>
      <c r="I79" s="75"/>
      <c r="J79" s="75"/>
      <c r="K79" s="75"/>
      <c r="L79" s="193">
        <f>SUM(L6:L77)</f>
        <v>12170</v>
      </c>
      <c r="M79" s="94" t="str">
        <f>B79</f>
        <v>Федеральный бюджет</v>
      </c>
      <c r="N79" s="75">
        <f>SUM(N7,N12,N16,N21,N24,N29,N32,N38,N41,N46,N49,N54,N57,N62,N67,N71,N75)</f>
        <v>0</v>
      </c>
      <c r="O79" s="75">
        <f>SUM(O7,O12,O16,O21,O24,O29,O32,O38,O41,O46,O49,O54,O57,O62,O67,O71,O75)</f>
        <v>0</v>
      </c>
      <c r="P79" s="75">
        <f>SUM(P7,P12,P16,P21,P24,P29,P32,P38,P41,P46,P49,P54,P57,P62,P67,P71,P75)</f>
        <v>0</v>
      </c>
      <c r="Q79" s="75">
        <f>SUM(Q7,Q12,Q16,Q21,Q24,Q29,Q32,Q38,Q41,Q46,Q49,Q54,Q57,Q62,Q67,Q71,Q75)</f>
        <v>0</v>
      </c>
      <c r="R79" s="75">
        <f>SUM(R7,R12,R16,R21,R24,R29,R32,R38,R41,R46,R49,R54,R57,R62,R67,R71,R75)</f>
        <v>0</v>
      </c>
      <c r="T79" s="95"/>
    </row>
    <row r="80" spans="1:20" ht="16.5" customHeight="1">
      <c r="A80" s="74"/>
      <c r="B80" s="75" t="s">
        <v>20</v>
      </c>
      <c r="C80" s="74"/>
      <c r="D80" s="74"/>
      <c r="E80" s="74"/>
      <c r="F80" s="74"/>
      <c r="G80" s="75"/>
      <c r="H80" s="75"/>
      <c r="I80" s="75"/>
      <c r="J80" s="75"/>
      <c r="K80" s="75"/>
      <c r="L80" s="193"/>
      <c r="M80" s="94" t="str">
        <f>B80</f>
        <v>Местный бюджет</v>
      </c>
      <c r="N80" s="75">
        <f>SUM(N8,N13,N17,N22,N25,N30,N33,N39,N42,N47,N50,N55,N58,N63,N68,N72,N76)</f>
        <v>1400</v>
      </c>
      <c r="O80" s="75">
        <f aca="true" t="shared" si="0" ref="N80:R81">SUM(O8,O13,O17,O22,O25,O30,O33,O39,O42,O47,O50,O55,O58,O63,O68,O72,O76)</f>
        <v>470</v>
      </c>
      <c r="P80" s="75">
        <f t="shared" si="0"/>
        <v>200</v>
      </c>
      <c r="Q80" s="75">
        <f t="shared" si="0"/>
        <v>0</v>
      </c>
      <c r="R80" s="75">
        <f t="shared" si="0"/>
        <v>430</v>
      </c>
      <c r="T80" s="95"/>
    </row>
    <row r="81" spans="1:20" s="98" customFormat="1" ht="17.25" customHeight="1">
      <c r="A81" s="96"/>
      <c r="B81" s="75" t="s">
        <v>21</v>
      </c>
      <c r="C81" s="96"/>
      <c r="D81" s="96"/>
      <c r="E81" s="96"/>
      <c r="F81" s="96"/>
      <c r="G81" s="96"/>
      <c r="H81" s="96"/>
      <c r="I81" s="96"/>
      <c r="J81" s="96"/>
      <c r="K81" s="96"/>
      <c r="L81" s="193"/>
      <c r="M81" s="94" t="str">
        <f>B81</f>
        <v>Средства предприятия</v>
      </c>
      <c r="N81" s="75">
        <f t="shared" si="0"/>
        <v>500</v>
      </c>
      <c r="O81" s="75">
        <f t="shared" si="0"/>
        <v>2180</v>
      </c>
      <c r="P81" s="75">
        <f t="shared" si="0"/>
        <v>2250</v>
      </c>
      <c r="Q81" s="75">
        <f t="shared" si="0"/>
        <v>2330</v>
      </c>
      <c r="R81" s="75">
        <f t="shared" si="0"/>
        <v>2410</v>
      </c>
      <c r="S81" s="79"/>
      <c r="T81" s="97"/>
    </row>
    <row r="82" spans="1:20" ht="27" customHeight="1">
      <c r="A82" s="74"/>
      <c r="B82" s="75" t="s">
        <v>244</v>
      </c>
      <c r="C82" s="74"/>
      <c r="D82" s="74"/>
      <c r="E82" s="74"/>
      <c r="F82" s="74"/>
      <c r="G82" s="75"/>
      <c r="H82" s="75"/>
      <c r="I82" s="75"/>
      <c r="J82" s="75"/>
      <c r="K82" s="75"/>
      <c r="L82" s="193"/>
      <c r="M82" s="75" t="str">
        <f>B82</f>
        <v>ИТОГО</v>
      </c>
      <c r="N82" s="75">
        <f>SUM(N6:N77)</f>
        <v>1900</v>
      </c>
      <c r="O82" s="75">
        <f>SUM(O6:O77)</f>
        <v>2650</v>
      </c>
      <c r="P82" s="75">
        <f>SUM(P6:P77)</f>
        <v>2450</v>
      </c>
      <c r="Q82" s="75">
        <f>SUM(Q6:Q77)</f>
        <v>2330</v>
      </c>
      <c r="R82" s="75">
        <f>SUM(R6:R77)</f>
        <v>2840</v>
      </c>
      <c r="T82" s="95"/>
    </row>
    <row r="83" spans="1:18" s="98" customFormat="1" ht="12.75">
      <c r="A83" s="99"/>
      <c r="B83" s="99"/>
      <c r="C83" s="99"/>
      <c r="D83" s="99"/>
      <c r="E83" s="99"/>
      <c r="F83" s="99"/>
      <c r="G83" s="99"/>
      <c r="H83" s="100"/>
      <c r="I83" s="99"/>
      <c r="J83" s="99"/>
      <c r="K83" s="99"/>
      <c r="L83" s="99"/>
      <c r="M83" s="100"/>
      <c r="N83" s="99"/>
      <c r="O83" s="99"/>
      <c r="P83" s="99"/>
      <c r="Q83" s="99"/>
      <c r="R83" s="99"/>
    </row>
    <row r="84" spans="1:19" s="98" customFormat="1" ht="38.25">
      <c r="A84" s="99"/>
      <c r="B84" s="99"/>
      <c r="C84" s="99"/>
      <c r="D84" s="99"/>
      <c r="E84" s="99"/>
      <c r="F84" s="99"/>
      <c r="G84" s="99"/>
      <c r="H84" s="100"/>
      <c r="I84" s="99"/>
      <c r="J84" s="99"/>
      <c r="K84" s="99"/>
      <c r="L84" s="48">
        <f>SUM(N84:R84)</f>
        <v>2570</v>
      </c>
      <c r="M84" s="48" t="s">
        <v>297</v>
      </c>
      <c r="N84" s="49"/>
      <c r="O84" s="50">
        <f>530</f>
        <v>530</v>
      </c>
      <c r="P84" s="50">
        <f>600</f>
        <v>600</v>
      </c>
      <c r="Q84" s="50">
        <f>680</f>
        <v>680</v>
      </c>
      <c r="R84" s="50">
        <f>760</f>
        <v>760</v>
      </c>
      <c r="S84" s="102"/>
    </row>
    <row r="85" spans="1:18" s="98" customFormat="1" ht="12.75">
      <c r="A85" s="99"/>
      <c r="B85" s="99"/>
      <c r="C85" s="99"/>
      <c r="D85" s="99"/>
      <c r="E85" s="99"/>
      <c r="F85" s="99"/>
      <c r="G85" s="99"/>
      <c r="H85" s="100"/>
      <c r="I85" s="99"/>
      <c r="J85" s="99"/>
      <c r="K85" s="99"/>
      <c r="L85" s="99"/>
      <c r="M85" s="100"/>
      <c r="N85" s="99"/>
      <c r="O85" s="101"/>
      <c r="P85" s="99"/>
      <c r="Q85" s="99"/>
      <c r="R85" s="99"/>
    </row>
    <row r="86" spans="1:18" s="98" customFormat="1" ht="12.75">
      <c r="A86" s="99"/>
      <c r="B86" s="99"/>
      <c r="C86" s="99"/>
      <c r="D86" s="99"/>
      <c r="E86" s="99"/>
      <c r="F86" s="99"/>
      <c r="G86" s="99"/>
      <c r="H86" s="100"/>
      <c r="I86" s="99"/>
      <c r="J86" s="99"/>
      <c r="K86" s="99"/>
      <c r="L86" s="99"/>
      <c r="M86" s="100"/>
      <c r="N86" s="99"/>
      <c r="O86" s="99"/>
      <c r="P86" s="99"/>
      <c r="Q86" s="99"/>
      <c r="R86" s="99"/>
    </row>
    <row r="87" spans="1:18" s="98" customFormat="1" ht="12.75">
      <c r="A87" s="99"/>
      <c r="B87" s="99"/>
      <c r="C87" s="99"/>
      <c r="D87" s="99"/>
      <c r="E87" s="99"/>
      <c r="F87" s="99"/>
      <c r="G87" s="99"/>
      <c r="H87" s="100"/>
      <c r="I87" s="99"/>
      <c r="J87" s="99"/>
      <c r="K87" s="99"/>
      <c r="L87" s="99"/>
      <c r="M87" s="100"/>
      <c r="N87" s="99"/>
      <c r="O87" s="99"/>
      <c r="P87" s="99"/>
      <c r="Q87" s="99"/>
      <c r="R87" s="99"/>
    </row>
    <row r="88" spans="1:18" s="98" customFormat="1" ht="12.75">
      <c r="A88" s="99"/>
      <c r="B88" s="99"/>
      <c r="C88" s="99"/>
      <c r="D88" s="99"/>
      <c r="E88" s="99"/>
      <c r="F88" s="99"/>
      <c r="G88" s="99"/>
      <c r="H88" s="100"/>
      <c r="I88" s="99"/>
      <c r="J88" s="99"/>
      <c r="K88" s="99"/>
      <c r="L88" s="99"/>
      <c r="M88" s="100"/>
      <c r="N88" s="99"/>
      <c r="O88" s="99"/>
      <c r="P88" s="99"/>
      <c r="Q88" s="99"/>
      <c r="R88" s="99"/>
    </row>
    <row r="89" spans="1:18" s="98" customFormat="1" ht="12.75">
      <c r="A89" s="99"/>
      <c r="B89" s="99"/>
      <c r="C89" s="99"/>
      <c r="D89" s="99"/>
      <c r="E89" s="99"/>
      <c r="F89" s="99"/>
      <c r="G89" s="99"/>
      <c r="H89" s="100"/>
      <c r="I89" s="99"/>
      <c r="J89" s="99"/>
      <c r="K89" s="99"/>
      <c r="L89" s="99"/>
      <c r="M89" s="100"/>
      <c r="N89" s="99"/>
      <c r="O89" s="99"/>
      <c r="P89" s="99"/>
      <c r="Q89" s="99"/>
      <c r="R89" s="99"/>
    </row>
    <row r="90" spans="1:18" s="98" customFormat="1" ht="12.75">
      <c r="A90" s="99"/>
      <c r="B90" s="99"/>
      <c r="C90" s="99"/>
      <c r="D90" s="99"/>
      <c r="E90" s="99"/>
      <c r="F90" s="99"/>
      <c r="G90" s="99"/>
      <c r="H90" s="100"/>
      <c r="I90" s="99"/>
      <c r="J90" s="99"/>
      <c r="K90" s="99"/>
      <c r="L90" s="99"/>
      <c r="M90" s="100"/>
      <c r="N90" s="99"/>
      <c r="O90" s="99"/>
      <c r="P90" s="99"/>
      <c r="Q90" s="99"/>
      <c r="R90" s="99"/>
    </row>
    <row r="91" spans="1:18" s="98" customFormat="1" ht="12.75">
      <c r="A91" s="99"/>
      <c r="B91" s="99"/>
      <c r="C91" s="99"/>
      <c r="D91" s="99"/>
      <c r="E91" s="99"/>
      <c r="F91" s="99"/>
      <c r="G91" s="99"/>
      <c r="H91" s="100"/>
      <c r="I91" s="99"/>
      <c r="J91" s="99"/>
      <c r="K91" s="99"/>
      <c r="L91" s="99"/>
      <c r="M91" s="100"/>
      <c r="N91" s="99"/>
      <c r="O91" s="99"/>
      <c r="P91" s="99"/>
      <c r="Q91" s="99"/>
      <c r="R91" s="99"/>
    </row>
    <row r="92" spans="1:18" s="98" customFormat="1" ht="12.75">
      <c r="A92" s="99"/>
      <c r="B92" s="99"/>
      <c r="C92" s="99"/>
      <c r="D92" s="99"/>
      <c r="E92" s="99"/>
      <c r="F92" s="99"/>
      <c r="G92" s="99"/>
      <c r="H92" s="100"/>
      <c r="I92" s="99"/>
      <c r="J92" s="99"/>
      <c r="K92" s="99"/>
      <c r="L92" s="99"/>
      <c r="M92" s="100"/>
      <c r="N92" s="99"/>
      <c r="O92" s="99"/>
      <c r="P92" s="99"/>
      <c r="Q92" s="99"/>
      <c r="R92" s="99"/>
    </row>
    <row r="93" spans="1:18" s="98" customFormat="1" ht="12.75">
      <c r="A93" s="99"/>
      <c r="B93" s="99"/>
      <c r="C93" s="99"/>
      <c r="D93" s="99"/>
      <c r="E93" s="99"/>
      <c r="F93" s="99"/>
      <c r="G93" s="99"/>
      <c r="H93" s="100"/>
      <c r="I93" s="99"/>
      <c r="J93" s="99"/>
      <c r="K93" s="99"/>
      <c r="L93" s="99"/>
      <c r="M93" s="100"/>
      <c r="N93" s="99"/>
      <c r="O93" s="99"/>
      <c r="P93" s="99"/>
      <c r="Q93" s="99"/>
      <c r="R93" s="99"/>
    </row>
    <row r="94" spans="1:18" s="98" customFormat="1" ht="12.75">
      <c r="A94" s="99"/>
      <c r="B94" s="99"/>
      <c r="C94" s="99"/>
      <c r="D94" s="99"/>
      <c r="E94" s="99"/>
      <c r="F94" s="99"/>
      <c r="G94" s="99"/>
      <c r="H94" s="100"/>
      <c r="I94" s="99"/>
      <c r="J94" s="99"/>
      <c r="K94" s="99"/>
      <c r="L94" s="99"/>
      <c r="M94" s="100"/>
      <c r="N94" s="99"/>
      <c r="O94" s="99"/>
      <c r="P94" s="99"/>
      <c r="Q94" s="99"/>
      <c r="R94" s="99"/>
    </row>
    <row r="95" spans="1:18" s="98" customFormat="1" ht="12.75">
      <c r="A95" s="99"/>
      <c r="B95" s="99"/>
      <c r="C95" s="99"/>
      <c r="D95" s="99"/>
      <c r="E95" s="99"/>
      <c r="F95" s="99"/>
      <c r="G95" s="99"/>
      <c r="H95" s="100"/>
      <c r="I95" s="99"/>
      <c r="J95" s="99"/>
      <c r="K95" s="99"/>
      <c r="L95" s="99"/>
      <c r="M95" s="100"/>
      <c r="N95" s="99"/>
      <c r="O95" s="99"/>
      <c r="P95" s="99"/>
      <c r="Q95" s="99"/>
      <c r="R95" s="99"/>
    </row>
  </sheetData>
  <sheetProtection/>
  <mergeCells count="178">
    <mergeCell ref="P2:R2"/>
    <mergeCell ref="I75:I77"/>
    <mergeCell ref="L79:L8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R3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A20:A26"/>
    <mergeCell ref="B20:B26"/>
    <mergeCell ref="C20:C26"/>
    <mergeCell ref="D20:D26"/>
    <mergeCell ref="E20:E26"/>
    <mergeCell ref="F20:F26"/>
    <mergeCell ref="G20:G26"/>
    <mergeCell ref="H20:H26"/>
    <mergeCell ref="I20:I26"/>
    <mergeCell ref="J20:J26"/>
    <mergeCell ref="K20:K26"/>
    <mergeCell ref="P20:P21"/>
    <mergeCell ref="Q20:Q21"/>
    <mergeCell ref="R20:R21"/>
    <mergeCell ref="L24:L26"/>
    <mergeCell ref="L20:L23"/>
    <mergeCell ref="M20:M21"/>
    <mergeCell ref="N20:N21"/>
    <mergeCell ref="O20:O21"/>
    <mergeCell ref="A28:A34"/>
    <mergeCell ref="B28:B34"/>
    <mergeCell ref="C28:C34"/>
    <mergeCell ref="D28:D34"/>
    <mergeCell ref="E28:E34"/>
    <mergeCell ref="F28:F34"/>
    <mergeCell ref="G28:G34"/>
    <mergeCell ref="H28:H34"/>
    <mergeCell ref="I28:I34"/>
    <mergeCell ref="J28:J34"/>
    <mergeCell ref="K28:K34"/>
    <mergeCell ref="P28:P29"/>
    <mergeCell ref="Q28:Q29"/>
    <mergeCell ref="R28:R29"/>
    <mergeCell ref="L32:L34"/>
    <mergeCell ref="L28:L31"/>
    <mergeCell ref="M28:M29"/>
    <mergeCell ref="N28:N29"/>
    <mergeCell ref="O28:O29"/>
    <mergeCell ref="A37:A43"/>
    <mergeCell ref="B37:B43"/>
    <mergeCell ref="C37:C43"/>
    <mergeCell ref="D37:D43"/>
    <mergeCell ref="E37:E43"/>
    <mergeCell ref="F37:F43"/>
    <mergeCell ref="G37:G43"/>
    <mergeCell ref="H37:H43"/>
    <mergeCell ref="I37:I43"/>
    <mergeCell ref="J37:J43"/>
    <mergeCell ref="K37:K43"/>
    <mergeCell ref="L37:L40"/>
    <mergeCell ref="L41:L43"/>
    <mergeCell ref="A45:A51"/>
    <mergeCell ref="B45:B51"/>
    <mergeCell ref="C45:C51"/>
    <mergeCell ref="D45:D51"/>
    <mergeCell ref="E45:E51"/>
    <mergeCell ref="F45:F51"/>
    <mergeCell ref="G45:G51"/>
    <mergeCell ref="H45:H51"/>
    <mergeCell ref="I45:I51"/>
    <mergeCell ref="J45:J51"/>
    <mergeCell ref="K45:K51"/>
    <mergeCell ref="L45:L48"/>
    <mergeCell ref="L49:L51"/>
    <mergeCell ref="A53:A59"/>
    <mergeCell ref="B53:B59"/>
    <mergeCell ref="C53:C59"/>
    <mergeCell ref="D53:D59"/>
    <mergeCell ref="E53:E59"/>
    <mergeCell ref="F53:F59"/>
    <mergeCell ref="G53:G59"/>
    <mergeCell ref="H53:H59"/>
    <mergeCell ref="I53:I59"/>
    <mergeCell ref="J53:J59"/>
    <mergeCell ref="K53:K59"/>
    <mergeCell ref="L53:L56"/>
    <mergeCell ref="L57:L59"/>
    <mergeCell ref="A61:A64"/>
    <mergeCell ref="B61:B64"/>
    <mergeCell ref="C61:C64"/>
    <mergeCell ref="D61:D64"/>
    <mergeCell ref="E61:E64"/>
    <mergeCell ref="F61:F64"/>
    <mergeCell ref="G61:G64"/>
    <mergeCell ref="H61:H64"/>
    <mergeCell ref="J61:J64"/>
    <mergeCell ref="K61:K64"/>
    <mergeCell ref="L61:L64"/>
    <mergeCell ref="I62:I64"/>
    <mergeCell ref="A66:A69"/>
    <mergeCell ref="B66:B69"/>
    <mergeCell ref="E66:E69"/>
    <mergeCell ref="F66:F69"/>
    <mergeCell ref="K66:K69"/>
    <mergeCell ref="L66:L69"/>
    <mergeCell ref="C67:C69"/>
    <mergeCell ref="D67:D69"/>
    <mergeCell ref="G66:G69"/>
    <mergeCell ref="H66:H69"/>
    <mergeCell ref="J66:J69"/>
    <mergeCell ref="I67:I69"/>
    <mergeCell ref="J70:J73"/>
    <mergeCell ref="I71:I73"/>
    <mergeCell ref="A70:A73"/>
    <mergeCell ref="B70:B73"/>
    <mergeCell ref="E70:E73"/>
    <mergeCell ref="F70:F73"/>
    <mergeCell ref="C71:C73"/>
    <mergeCell ref="D71:D73"/>
    <mergeCell ref="G70:G73"/>
    <mergeCell ref="H70:H73"/>
    <mergeCell ref="A74:A77"/>
    <mergeCell ref="B74:B77"/>
    <mergeCell ref="E74:E77"/>
    <mergeCell ref="F74:F77"/>
    <mergeCell ref="C1:I1"/>
    <mergeCell ref="K74:K77"/>
    <mergeCell ref="L74:L77"/>
    <mergeCell ref="C75:C77"/>
    <mergeCell ref="D75:D77"/>
    <mergeCell ref="G74:G77"/>
    <mergeCell ref="H74:H77"/>
    <mergeCell ref="J74:J77"/>
    <mergeCell ref="K70:K73"/>
    <mergeCell ref="L70:L73"/>
  </mergeCells>
  <printOptions/>
  <pageMargins left="0.69" right="0.25" top="0.33" bottom="0.3" header="0.5118110236220472" footer="0.5118110236220472"/>
  <pageSetup fitToHeight="0" fitToWidth="1" horizontalDpi="600" verticalDpi="600" orientation="landscape" scale="65" r:id="rId1"/>
  <rowBreaks count="1" manualBreakCount="1">
    <brk id="5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6"/>
  <sheetViews>
    <sheetView workbookViewId="0" topLeftCell="H1">
      <selection activeCell="Q3" sqref="Q3:S3"/>
    </sheetView>
  </sheetViews>
  <sheetFormatPr defaultColWidth="9.00390625" defaultRowHeight="12.75"/>
  <cols>
    <col min="1" max="1" width="2.875" style="1" customWidth="1"/>
    <col min="2" max="2" width="19.875" style="1" customWidth="1"/>
    <col min="3" max="3" width="9.125" style="1" customWidth="1"/>
    <col min="4" max="4" width="8.00390625" style="1" customWidth="1"/>
    <col min="5" max="5" width="6.875" style="1" customWidth="1"/>
    <col min="6" max="6" width="9.25390625" style="1" customWidth="1"/>
    <col min="7" max="7" width="8.625" style="1" customWidth="1"/>
    <col min="8" max="8" width="9.375" style="1" customWidth="1"/>
    <col min="9" max="9" width="15.125" style="1" customWidth="1"/>
    <col min="10" max="10" width="7.25390625" style="1" customWidth="1"/>
    <col min="11" max="11" width="11.00390625" style="1" customWidth="1"/>
    <col min="12" max="12" width="11.125" style="1" customWidth="1"/>
    <col min="13" max="13" width="9.75390625" style="1" customWidth="1"/>
    <col min="14" max="14" width="11.875" style="1" customWidth="1"/>
    <col min="15" max="15" width="7.00390625" style="1" customWidth="1"/>
    <col min="16" max="17" width="8.375" style="1" bestFit="1" customWidth="1"/>
    <col min="18" max="19" width="7.25390625" style="1" customWidth="1"/>
    <col min="20" max="16384" width="9.125" style="1" customWidth="1"/>
  </cols>
  <sheetData>
    <row r="2" spans="2:19" ht="15.75">
      <c r="B2" s="195" t="s">
        <v>54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2"/>
      <c r="S2" s="2"/>
    </row>
    <row r="3" spans="1:19" ht="15.75">
      <c r="A3" s="21"/>
      <c r="B3" s="22" t="s">
        <v>277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59" t="s">
        <v>302</v>
      </c>
      <c r="R3" s="159"/>
      <c r="S3" s="159"/>
    </row>
    <row r="4" spans="1:19" ht="41.25" customHeight="1">
      <c r="A4" s="196" t="s">
        <v>0</v>
      </c>
      <c r="B4" s="198" t="s">
        <v>55</v>
      </c>
      <c r="C4" s="198" t="s">
        <v>56</v>
      </c>
      <c r="D4" s="198" t="s">
        <v>57</v>
      </c>
      <c r="E4" s="198" t="s">
        <v>58</v>
      </c>
      <c r="F4" s="198" t="s">
        <v>59</v>
      </c>
      <c r="G4" s="198" t="s">
        <v>60</v>
      </c>
      <c r="H4" s="198" t="s">
        <v>13</v>
      </c>
      <c r="I4" s="198" t="s">
        <v>14</v>
      </c>
      <c r="J4" s="198" t="s">
        <v>15</v>
      </c>
      <c r="K4" s="198" t="s">
        <v>16</v>
      </c>
      <c r="L4" s="198" t="s">
        <v>61</v>
      </c>
      <c r="M4" s="198" t="s">
        <v>62</v>
      </c>
      <c r="N4" s="200" t="s">
        <v>63</v>
      </c>
      <c r="O4" s="200"/>
      <c r="P4" s="200"/>
      <c r="Q4" s="200"/>
      <c r="R4" s="200"/>
      <c r="S4" s="200"/>
    </row>
    <row r="5" spans="1:19" ht="52.5" customHeight="1">
      <c r="A5" s="197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4" t="s">
        <v>22</v>
      </c>
      <c r="O5" s="5">
        <v>2006</v>
      </c>
      <c r="P5" s="5">
        <v>2007</v>
      </c>
      <c r="Q5" s="5">
        <v>2008</v>
      </c>
      <c r="R5" s="5">
        <v>2009</v>
      </c>
      <c r="S5" s="5">
        <v>2010</v>
      </c>
    </row>
    <row r="6" spans="1:19" ht="12.75">
      <c r="A6" s="6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</row>
    <row r="7" spans="1:19" s="23" customFormat="1" ht="24" customHeight="1">
      <c r="A7" s="140">
        <v>1</v>
      </c>
      <c r="B7" s="142" t="s">
        <v>278</v>
      </c>
      <c r="C7" s="149" t="s">
        <v>279</v>
      </c>
      <c r="D7" s="142"/>
      <c r="E7" s="142"/>
      <c r="F7" s="142"/>
      <c r="G7" s="149"/>
      <c r="H7" s="149"/>
      <c r="I7" s="146" t="s">
        <v>280</v>
      </c>
      <c r="J7" s="149" t="s">
        <v>300</v>
      </c>
      <c r="K7" s="149"/>
      <c r="L7" s="149"/>
      <c r="M7" s="139">
        <f>SUM(O7:S9)</f>
        <v>10700</v>
      </c>
      <c r="N7" s="32" t="s">
        <v>19</v>
      </c>
      <c r="O7" s="35"/>
      <c r="P7" s="35">
        <f>4650-1022-628+400</f>
        <v>3400</v>
      </c>
      <c r="Q7" s="35">
        <f>278/2</f>
        <v>139</v>
      </c>
      <c r="R7" s="35"/>
      <c r="S7" s="35"/>
    </row>
    <row r="8" spans="1:19" s="23" customFormat="1" ht="24" customHeight="1">
      <c r="A8" s="140"/>
      <c r="B8" s="142"/>
      <c r="C8" s="149"/>
      <c r="D8" s="142"/>
      <c r="E8" s="142"/>
      <c r="F8" s="142"/>
      <c r="G8" s="149"/>
      <c r="H8" s="149"/>
      <c r="I8" s="147"/>
      <c r="J8" s="149"/>
      <c r="K8" s="149"/>
      <c r="L8" s="149"/>
      <c r="M8" s="139"/>
      <c r="N8" s="32" t="s">
        <v>69</v>
      </c>
      <c r="O8" s="35">
        <v>100</v>
      </c>
      <c r="P8" s="35">
        <f>4650+628-400</f>
        <v>4878</v>
      </c>
      <c r="Q8" s="35">
        <f>(300-22)/2</f>
        <v>139</v>
      </c>
      <c r="R8" s="35"/>
      <c r="S8" s="35"/>
    </row>
    <row r="9" spans="1:20" s="23" customFormat="1" ht="24" customHeight="1">
      <c r="A9" s="141"/>
      <c r="B9" s="142"/>
      <c r="C9" s="149"/>
      <c r="D9" s="142"/>
      <c r="E9" s="142"/>
      <c r="F9" s="142"/>
      <c r="G9" s="149"/>
      <c r="H9" s="149"/>
      <c r="I9" s="148"/>
      <c r="J9" s="149"/>
      <c r="K9" s="149"/>
      <c r="L9" s="149"/>
      <c r="M9" s="139"/>
      <c r="N9" s="32" t="s">
        <v>21</v>
      </c>
      <c r="O9" s="35"/>
      <c r="P9" s="35">
        <f>865+157</f>
        <v>1022</v>
      </c>
      <c r="Q9" s="35">
        <f>865+157</f>
        <v>1022</v>
      </c>
      <c r="R9" s="35"/>
      <c r="S9" s="35"/>
      <c r="T9" s="58"/>
    </row>
    <row r="10" spans="1:19" ht="24" customHeight="1" hidden="1">
      <c r="A10" s="201">
        <v>2</v>
      </c>
      <c r="B10" s="203"/>
      <c r="C10" s="204"/>
      <c r="D10" s="205"/>
      <c r="E10" s="208"/>
      <c r="F10" s="208"/>
      <c r="G10" s="204"/>
      <c r="H10" s="204"/>
      <c r="I10" s="205"/>
      <c r="J10" s="204"/>
      <c r="K10" s="204"/>
      <c r="L10" s="204"/>
      <c r="M10" s="211">
        <f>SUM(O10:S12)</f>
        <v>0</v>
      </c>
      <c r="N10" s="7" t="s">
        <v>19</v>
      </c>
      <c r="O10" s="20"/>
      <c r="P10" s="20"/>
      <c r="Q10" s="20"/>
      <c r="R10" s="20"/>
      <c r="S10" s="20"/>
    </row>
    <row r="11" spans="1:19" ht="24" customHeight="1" hidden="1">
      <c r="A11" s="201"/>
      <c r="B11" s="203"/>
      <c r="C11" s="204"/>
      <c r="D11" s="206"/>
      <c r="E11" s="209"/>
      <c r="F11" s="209"/>
      <c r="G11" s="204"/>
      <c r="H11" s="204"/>
      <c r="I11" s="206"/>
      <c r="J11" s="204"/>
      <c r="K11" s="204"/>
      <c r="L11" s="204"/>
      <c r="M11" s="211"/>
      <c r="N11" s="7" t="s">
        <v>69</v>
      </c>
      <c r="O11" s="20"/>
      <c r="P11" s="20"/>
      <c r="Q11" s="20"/>
      <c r="R11" s="20"/>
      <c r="S11" s="20"/>
    </row>
    <row r="12" spans="1:20" ht="24" customHeight="1" hidden="1">
      <c r="A12" s="202"/>
      <c r="B12" s="203"/>
      <c r="C12" s="204"/>
      <c r="D12" s="207"/>
      <c r="E12" s="210"/>
      <c r="F12" s="210"/>
      <c r="G12" s="204"/>
      <c r="H12" s="204"/>
      <c r="I12" s="207"/>
      <c r="J12" s="204"/>
      <c r="K12" s="204"/>
      <c r="L12" s="204"/>
      <c r="M12" s="211"/>
      <c r="N12" s="7" t="s">
        <v>21</v>
      </c>
      <c r="O12" s="20"/>
      <c r="P12" s="20"/>
      <c r="Q12" s="20"/>
      <c r="R12" s="20"/>
      <c r="S12" s="20"/>
      <c r="T12" s="8"/>
    </row>
    <row r="13" spans="1:19" ht="24" customHeight="1" hidden="1">
      <c r="A13" s="201">
        <v>3</v>
      </c>
      <c r="B13" s="203"/>
      <c r="C13" s="204"/>
      <c r="D13" s="203"/>
      <c r="E13" s="212"/>
      <c r="F13" s="212"/>
      <c r="G13" s="204"/>
      <c r="H13" s="204"/>
      <c r="I13" s="205"/>
      <c r="J13" s="204"/>
      <c r="K13" s="204"/>
      <c r="L13" s="204"/>
      <c r="M13" s="211">
        <f>SUM(O13:S15)</f>
        <v>0</v>
      </c>
      <c r="N13" s="7" t="s">
        <v>19</v>
      </c>
      <c r="O13" s="20"/>
      <c r="P13" s="20"/>
      <c r="Q13" s="20"/>
      <c r="R13" s="20"/>
      <c r="S13" s="20"/>
    </row>
    <row r="14" spans="1:19" ht="24" customHeight="1" hidden="1">
      <c r="A14" s="201"/>
      <c r="B14" s="203"/>
      <c r="C14" s="204"/>
      <c r="D14" s="203"/>
      <c r="E14" s="212"/>
      <c r="F14" s="212"/>
      <c r="G14" s="204"/>
      <c r="H14" s="204"/>
      <c r="I14" s="206"/>
      <c r="J14" s="204"/>
      <c r="K14" s="204"/>
      <c r="L14" s="204"/>
      <c r="M14" s="211"/>
      <c r="N14" s="7" t="s">
        <v>69</v>
      </c>
      <c r="O14" s="20"/>
      <c r="P14" s="20"/>
      <c r="Q14" s="20"/>
      <c r="R14" s="20"/>
      <c r="S14" s="20"/>
    </row>
    <row r="15" spans="1:20" ht="24" customHeight="1" hidden="1">
      <c r="A15" s="202"/>
      <c r="B15" s="203"/>
      <c r="C15" s="204"/>
      <c r="D15" s="203"/>
      <c r="E15" s="212"/>
      <c r="F15" s="212"/>
      <c r="G15" s="204"/>
      <c r="H15" s="204"/>
      <c r="I15" s="207"/>
      <c r="J15" s="204"/>
      <c r="K15" s="204"/>
      <c r="L15" s="204"/>
      <c r="M15" s="211"/>
      <c r="N15" s="7" t="s">
        <v>21</v>
      </c>
      <c r="O15" s="20"/>
      <c r="P15" s="20"/>
      <c r="Q15" s="20"/>
      <c r="R15" s="20"/>
      <c r="S15" s="20"/>
      <c r="T15" s="8"/>
    </row>
    <row r="16" spans="1:19" ht="24" customHeight="1" hidden="1">
      <c r="A16" s="201">
        <v>4</v>
      </c>
      <c r="B16" s="203"/>
      <c r="C16" s="204"/>
      <c r="D16" s="205"/>
      <c r="E16" s="208"/>
      <c r="F16" s="208"/>
      <c r="G16" s="204"/>
      <c r="H16" s="204"/>
      <c r="I16" s="205"/>
      <c r="J16" s="204"/>
      <c r="K16" s="204"/>
      <c r="L16" s="204"/>
      <c r="M16" s="211">
        <f>SUM(O16:S18)</f>
        <v>0</v>
      </c>
      <c r="N16" s="7" t="s">
        <v>19</v>
      </c>
      <c r="O16" s="20"/>
      <c r="P16" s="20"/>
      <c r="Q16" s="20"/>
      <c r="R16" s="20"/>
      <c r="S16" s="20"/>
    </row>
    <row r="17" spans="1:19" ht="24" customHeight="1" hidden="1">
      <c r="A17" s="201"/>
      <c r="B17" s="203"/>
      <c r="C17" s="204"/>
      <c r="D17" s="206"/>
      <c r="E17" s="209"/>
      <c r="F17" s="209"/>
      <c r="G17" s="204"/>
      <c r="H17" s="204"/>
      <c r="I17" s="206"/>
      <c r="J17" s="204"/>
      <c r="K17" s="204"/>
      <c r="L17" s="204"/>
      <c r="M17" s="211"/>
      <c r="N17" s="7" t="s">
        <v>69</v>
      </c>
      <c r="O17" s="20"/>
      <c r="P17" s="20"/>
      <c r="Q17" s="20"/>
      <c r="R17" s="20"/>
      <c r="S17" s="20"/>
    </row>
    <row r="18" spans="1:20" ht="24" customHeight="1" hidden="1">
      <c r="A18" s="202"/>
      <c r="B18" s="203"/>
      <c r="C18" s="204"/>
      <c r="D18" s="207"/>
      <c r="E18" s="210"/>
      <c r="F18" s="210"/>
      <c r="G18" s="204"/>
      <c r="H18" s="204"/>
      <c r="I18" s="207"/>
      <c r="J18" s="204"/>
      <c r="K18" s="204"/>
      <c r="L18" s="204"/>
      <c r="M18" s="211"/>
      <c r="N18" s="7" t="s">
        <v>21</v>
      </c>
      <c r="O18" s="20"/>
      <c r="P18" s="20"/>
      <c r="Q18" s="20"/>
      <c r="R18" s="20"/>
      <c r="S18" s="20"/>
      <c r="T18" s="8"/>
    </row>
    <row r="19" spans="1:19" ht="24" customHeight="1" hidden="1">
      <c r="A19" s="201">
        <v>5</v>
      </c>
      <c r="B19" s="203"/>
      <c r="C19" s="204"/>
      <c r="D19" s="203"/>
      <c r="E19" s="208"/>
      <c r="F19" s="208"/>
      <c r="G19" s="204"/>
      <c r="H19" s="204"/>
      <c r="I19" s="205"/>
      <c r="J19" s="204"/>
      <c r="K19" s="204"/>
      <c r="L19" s="204"/>
      <c r="M19" s="211">
        <f>SUM(O19:S21)</f>
        <v>0</v>
      </c>
      <c r="N19" s="7" t="s">
        <v>19</v>
      </c>
      <c r="O19" s="20"/>
      <c r="P19" s="20"/>
      <c r="Q19" s="20"/>
      <c r="R19" s="20"/>
      <c r="S19" s="20"/>
    </row>
    <row r="20" spans="1:19" ht="24" customHeight="1" hidden="1">
      <c r="A20" s="201"/>
      <c r="B20" s="203"/>
      <c r="C20" s="204"/>
      <c r="D20" s="203"/>
      <c r="E20" s="209"/>
      <c r="F20" s="209"/>
      <c r="G20" s="204"/>
      <c r="H20" s="204"/>
      <c r="I20" s="206"/>
      <c r="J20" s="204"/>
      <c r="K20" s="204"/>
      <c r="L20" s="204"/>
      <c r="M20" s="211"/>
      <c r="N20" s="7" t="s">
        <v>69</v>
      </c>
      <c r="O20" s="20"/>
      <c r="P20" s="20"/>
      <c r="Q20" s="20"/>
      <c r="R20" s="20"/>
      <c r="S20" s="20"/>
    </row>
    <row r="21" spans="1:20" ht="24" customHeight="1" hidden="1">
      <c r="A21" s="202"/>
      <c r="B21" s="203"/>
      <c r="C21" s="204"/>
      <c r="D21" s="203"/>
      <c r="E21" s="210"/>
      <c r="F21" s="210"/>
      <c r="G21" s="204"/>
      <c r="H21" s="204"/>
      <c r="I21" s="207"/>
      <c r="J21" s="204"/>
      <c r="K21" s="204"/>
      <c r="L21" s="204"/>
      <c r="M21" s="211"/>
      <c r="N21" s="7" t="s">
        <v>21</v>
      </c>
      <c r="O21" s="20"/>
      <c r="P21" s="20"/>
      <c r="Q21" s="20"/>
      <c r="R21" s="20"/>
      <c r="S21" s="20"/>
      <c r="T21" s="8"/>
    </row>
    <row r="22" spans="1:19" ht="24" customHeight="1" hidden="1">
      <c r="A22" s="201">
        <v>6</v>
      </c>
      <c r="B22" s="203"/>
      <c r="C22" s="204"/>
      <c r="D22" s="203"/>
      <c r="E22" s="208"/>
      <c r="F22" s="208"/>
      <c r="G22" s="204"/>
      <c r="H22" s="204"/>
      <c r="I22" s="205"/>
      <c r="J22" s="204"/>
      <c r="K22" s="204"/>
      <c r="L22" s="204"/>
      <c r="M22" s="211">
        <f>SUM(O22:S24)</f>
        <v>0</v>
      </c>
      <c r="N22" s="7" t="s">
        <v>19</v>
      </c>
      <c r="O22" s="20"/>
      <c r="P22" s="20"/>
      <c r="Q22" s="20"/>
      <c r="R22" s="20"/>
      <c r="S22" s="20"/>
    </row>
    <row r="23" spans="1:19" ht="24" customHeight="1" hidden="1">
      <c r="A23" s="201"/>
      <c r="B23" s="203"/>
      <c r="C23" s="204"/>
      <c r="D23" s="203"/>
      <c r="E23" s="209"/>
      <c r="F23" s="209"/>
      <c r="G23" s="204"/>
      <c r="H23" s="204"/>
      <c r="I23" s="206"/>
      <c r="J23" s="204"/>
      <c r="K23" s="204"/>
      <c r="L23" s="204"/>
      <c r="M23" s="211"/>
      <c r="N23" s="7" t="s">
        <v>69</v>
      </c>
      <c r="O23" s="20"/>
      <c r="P23" s="20"/>
      <c r="Q23" s="20"/>
      <c r="R23" s="20"/>
      <c r="S23" s="20"/>
    </row>
    <row r="24" spans="1:20" ht="24" customHeight="1" hidden="1">
      <c r="A24" s="202"/>
      <c r="B24" s="203"/>
      <c r="C24" s="204"/>
      <c r="D24" s="203"/>
      <c r="E24" s="210"/>
      <c r="F24" s="210"/>
      <c r="G24" s="204"/>
      <c r="H24" s="204"/>
      <c r="I24" s="207"/>
      <c r="J24" s="204"/>
      <c r="K24" s="204"/>
      <c r="L24" s="204"/>
      <c r="M24" s="211"/>
      <c r="N24" s="7" t="s">
        <v>21</v>
      </c>
      <c r="O24" s="20"/>
      <c r="P24" s="20"/>
      <c r="Q24" s="20"/>
      <c r="R24" s="20"/>
      <c r="S24" s="20"/>
      <c r="T24" s="8"/>
    </row>
    <row r="25" spans="1:19" ht="24" customHeight="1" hidden="1">
      <c r="A25" s="201">
        <v>7</v>
      </c>
      <c r="B25" s="203"/>
      <c r="C25" s="204"/>
      <c r="D25" s="203"/>
      <c r="E25" s="208"/>
      <c r="F25" s="208"/>
      <c r="G25" s="204"/>
      <c r="H25" s="204"/>
      <c r="I25" s="205"/>
      <c r="J25" s="204"/>
      <c r="K25" s="204"/>
      <c r="L25" s="204"/>
      <c r="M25" s="211">
        <f>SUM(O25:S27)</f>
        <v>0</v>
      </c>
      <c r="N25" s="7" t="s">
        <v>19</v>
      </c>
      <c r="O25" s="20"/>
      <c r="P25" s="20"/>
      <c r="Q25" s="20"/>
      <c r="R25" s="20"/>
      <c r="S25" s="20"/>
    </row>
    <row r="26" spans="1:19" ht="24" customHeight="1" hidden="1">
      <c r="A26" s="201"/>
      <c r="B26" s="203"/>
      <c r="C26" s="204"/>
      <c r="D26" s="203"/>
      <c r="E26" s="209"/>
      <c r="F26" s="209"/>
      <c r="G26" s="204"/>
      <c r="H26" s="204"/>
      <c r="I26" s="206"/>
      <c r="J26" s="204"/>
      <c r="K26" s="204"/>
      <c r="L26" s="204"/>
      <c r="M26" s="211"/>
      <c r="N26" s="7" t="s">
        <v>69</v>
      </c>
      <c r="O26" s="20"/>
      <c r="P26" s="20"/>
      <c r="Q26" s="20"/>
      <c r="R26" s="20"/>
      <c r="S26" s="20"/>
    </row>
    <row r="27" spans="1:19" ht="24" customHeight="1" hidden="1">
      <c r="A27" s="202"/>
      <c r="B27" s="203"/>
      <c r="C27" s="204"/>
      <c r="D27" s="203"/>
      <c r="E27" s="210"/>
      <c r="F27" s="210"/>
      <c r="G27" s="204"/>
      <c r="H27" s="204"/>
      <c r="I27" s="207"/>
      <c r="J27" s="204"/>
      <c r="K27" s="204"/>
      <c r="L27" s="204"/>
      <c r="M27" s="211"/>
      <c r="N27" s="7" t="s">
        <v>21</v>
      </c>
      <c r="O27" s="20"/>
      <c r="P27" s="20"/>
      <c r="Q27" s="20"/>
      <c r="R27" s="20"/>
      <c r="S27" s="20"/>
    </row>
    <row r="28" spans="1:19" ht="24" customHeight="1" hidden="1">
      <c r="A28" s="201">
        <v>8</v>
      </c>
      <c r="B28" s="203"/>
      <c r="C28" s="213"/>
      <c r="D28" s="203"/>
      <c r="E28" s="212"/>
      <c r="F28" s="212"/>
      <c r="G28" s="204"/>
      <c r="H28" s="204"/>
      <c r="I28" s="205"/>
      <c r="J28" s="204"/>
      <c r="K28" s="204"/>
      <c r="L28" s="204"/>
      <c r="M28" s="211">
        <f>SUM(O28:S30)</f>
        <v>0</v>
      </c>
      <c r="N28" s="7" t="s">
        <v>19</v>
      </c>
      <c r="O28" s="20"/>
      <c r="P28" s="20"/>
      <c r="Q28" s="20"/>
      <c r="R28" s="20"/>
      <c r="S28" s="20"/>
    </row>
    <row r="29" spans="1:19" ht="24" customHeight="1" hidden="1">
      <c r="A29" s="201"/>
      <c r="B29" s="203"/>
      <c r="C29" s="214"/>
      <c r="D29" s="203"/>
      <c r="E29" s="212"/>
      <c r="F29" s="212"/>
      <c r="G29" s="204"/>
      <c r="H29" s="204"/>
      <c r="I29" s="206"/>
      <c r="J29" s="204"/>
      <c r="K29" s="204"/>
      <c r="L29" s="204"/>
      <c r="M29" s="211"/>
      <c r="N29" s="7" t="s">
        <v>69</v>
      </c>
      <c r="O29" s="20"/>
      <c r="P29" s="20"/>
      <c r="Q29" s="20"/>
      <c r="R29" s="20"/>
      <c r="S29" s="20"/>
    </row>
    <row r="30" spans="1:19" ht="24" customHeight="1" hidden="1">
      <c r="A30" s="202"/>
      <c r="B30" s="203"/>
      <c r="C30" s="215"/>
      <c r="D30" s="203"/>
      <c r="E30" s="212"/>
      <c r="F30" s="212"/>
      <c r="G30" s="204"/>
      <c r="H30" s="204"/>
      <c r="I30" s="207"/>
      <c r="J30" s="204"/>
      <c r="K30" s="204"/>
      <c r="L30" s="204"/>
      <c r="M30" s="211"/>
      <c r="N30" s="7" t="s">
        <v>21</v>
      </c>
      <c r="O30" s="20"/>
      <c r="P30" s="20"/>
      <c r="Q30" s="20"/>
      <c r="R30" s="20"/>
      <c r="S30" s="20"/>
    </row>
    <row r="31" spans="1:19" ht="24" customHeight="1" hidden="1">
      <c r="A31" s="201">
        <v>9</v>
      </c>
      <c r="B31" s="203"/>
      <c r="C31" s="213"/>
      <c r="D31" s="203"/>
      <c r="E31" s="212"/>
      <c r="F31" s="212"/>
      <c r="G31" s="204"/>
      <c r="H31" s="204"/>
      <c r="I31" s="205"/>
      <c r="J31" s="204"/>
      <c r="K31" s="204"/>
      <c r="L31" s="204"/>
      <c r="M31" s="211">
        <f>SUM(O31:S33)</f>
        <v>0</v>
      </c>
      <c r="N31" s="7" t="s">
        <v>19</v>
      </c>
      <c r="O31" s="20"/>
      <c r="P31" s="20"/>
      <c r="Q31" s="20"/>
      <c r="R31" s="20"/>
      <c r="S31" s="20"/>
    </row>
    <row r="32" spans="1:19" ht="24" customHeight="1" hidden="1">
      <c r="A32" s="201"/>
      <c r="B32" s="203"/>
      <c r="C32" s="214"/>
      <c r="D32" s="203"/>
      <c r="E32" s="212"/>
      <c r="F32" s="212"/>
      <c r="G32" s="204"/>
      <c r="H32" s="204"/>
      <c r="I32" s="206"/>
      <c r="J32" s="204"/>
      <c r="K32" s="204"/>
      <c r="L32" s="204"/>
      <c r="M32" s="211"/>
      <c r="N32" s="7" t="s">
        <v>69</v>
      </c>
      <c r="O32" s="20"/>
      <c r="P32" s="20"/>
      <c r="Q32" s="20"/>
      <c r="R32" s="20"/>
      <c r="S32" s="20"/>
    </row>
    <row r="33" spans="1:20" ht="24" customHeight="1" hidden="1">
      <c r="A33" s="202"/>
      <c r="B33" s="203"/>
      <c r="C33" s="215"/>
      <c r="D33" s="203"/>
      <c r="E33" s="212"/>
      <c r="F33" s="212"/>
      <c r="G33" s="204"/>
      <c r="H33" s="204"/>
      <c r="I33" s="207"/>
      <c r="J33" s="204"/>
      <c r="K33" s="204"/>
      <c r="L33" s="204"/>
      <c r="M33" s="211"/>
      <c r="N33" s="7" t="s">
        <v>21</v>
      </c>
      <c r="O33" s="20"/>
      <c r="P33" s="20"/>
      <c r="Q33" s="20"/>
      <c r="R33" s="20"/>
      <c r="S33" s="20"/>
      <c r="T33" s="8"/>
    </row>
    <row r="34" spans="1:20" ht="24" customHeight="1" hidden="1">
      <c r="A34" s="201">
        <v>10</v>
      </c>
      <c r="B34" s="203"/>
      <c r="C34" s="213"/>
      <c r="D34" s="203"/>
      <c r="E34" s="212"/>
      <c r="F34" s="212"/>
      <c r="G34" s="204"/>
      <c r="H34" s="204"/>
      <c r="I34" s="205"/>
      <c r="J34" s="204"/>
      <c r="K34" s="204"/>
      <c r="L34" s="204"/>
      <c r="M34" s="211">
        <f>SUM(O34:S36)</f>
        <v>0</v>
      </c>
      <c r="N34" s="7" t="s">
        <v>19</v>
      </c>
      <c r="O34" s="20"/>
      <c r="P34" s="20"/>
      <c r="Q34" s="20"/>
      <c r="R34" s="20"/>
      <c r="S34" s="20"/>
      <c r="T34" s="8"/>
    </row>
    <row r="35" spans="1:20" ht="24" customHeight="1" hidden="1">
      <c r="A35" s="201"/>
      <c r="B35" s="203"/>
      <c r="C35" s="214"/>
      <c r="D35" s="203"/>
      <c r="E35" s="212"/>
      <c r="F35" s="212"/>
      <c r="G35" s="204"/>
      <c r="H35" s="204"/>
      <c r="I35" s="206"/>
      <c r="J35" s="204"/>
      <c r="K35" s="204"/>
      <c r="L35" s="204"/>
      <c r="M35" s="211"/>
      <c r="N35" s="7" t="s">
        <v>69</v>
      </c>
      <c r="O35" s="20"/>
      <c r="P35" s="20"/>
      <c r="Q35" s="20"/>
      <c r="R35" s="20"/>
      <c r="S35" s="20"/>
      <c r="T35" s="8"/>
    </row>
    <row r="36" spans="1:20" ht="24" customHeight="1" hidden="1">
      <c r="A36" s="202"/>
      <c r="B36" s="203"/>
      <c r="C36" s="215"/>
      <c r="D36" s="203"/>
      <c r="E36" s="212"/>
      <c r="F36" s="212"/>
      <c r="G36" s="204"/>
      <c r="H36" s="204"/>
      <c r="I36" s="207"/>
      <c r="J36" s="204"/>
      <c r="K36" s="204"/>
      <c r="L36" s="204"/>
      <c r="M36" s="211"/>
      <c r="N36" s="7" t="s">
        <v>21</v>
      </c>
      <c r="O36" s="20"/>
      <c r="P36" s="20"/>
      <c r="Q36" s="20"/>
      <c r="R36" s="20"/>
      <c r="S36" s="20"/>
      <c r="T36" s="8"/>
    </row>
    <row r="37" spans="1:19" ht="24" customHeight="1" hidden="1">
      <c r="A37" s="201">
        <v>11</v>
      </c>
      <c r="B37" s="203"/>
      <c r="C37" s="213"/>
      <c r="D37" s="203"/>
      <c r="E37" s="212"/>
      <c r="F37" s="212"/>
      <c r="G37" s="204"/>
      <c r="H37" s="204"/>
      <c r="I37" s="205"/>
      <c r="J37" s="204"/>
      <c r="K37" s="204"/>
      <c r="L37" s="205"/>
      <c r="M37" s="211">
        <f>SUM(O37:S39)</f>
        <v>0</v>
      </c>
      <c r="N37" s="7" t="s">
        <v>19</v>
      </c>
      <c r="O37" s="20"/>
      <c r="P37" s="20"/>
      <c r="Q37" s="20"/>
      <c r="R37" s="20"/>
      <c r="S37" s="20"/>
    </row>
    <row r="38" spans="1:19" ht="24" customHeight="1" hidden="1">
      <c r="A38" s="201"/>
      <c r="B38" s="203"/>
      <c r="C38" s="214"/>
      <c r="D38" s="203"/>
      <c r="E38" s="212"/>
      <c r="F38" s="212"/>
      <c r="G38" s="204"/>
      <c r="H38" s="204"/>
      <c r="I38" s="206"/>
      <c r="J38" s="204"/>
      <c r="K38" s="204"/>
      <c r="L38" s="206"/>
      <c r="M38" s="211"/>
      <c r="N38" s="7" t="s">
        <v>69</v>
      </c>
      <c r="O38" s="20"/>
      <c r="P38" s="20"/>
      <c r="Q38" s="20"/>
      <c r="R38" s="20"/>
      <c r="S38" s="20"/>
    </row>
    <row r="39" spans="1:19" ht="24" customHeight="1" hidden="1">
      <c r="A39" s="202"/>
      <c r="B39" s="203"/>
      <c r="C39" s="215"/>
      <c r="D39" s="203"/>
      <c r="E39" s="212"/>
      <c r="F39" s="212"/>
      <c r="G39" s="204"/>
      <c r="H39" s="204"/>
      <c r="I39" s="207"/>
      <c r="J39" s="204"/>
      <c r="K39" s="204"/>
      <c r="L39" s="207"/>
      <c r="M39" s="211"/>
      <c r="N39" s="7" t="s">
        <v>21</v>
      </c>
      <c r="O39" s="20"/>
      <c r="P39" s="20"/>
      <c r="Q39" s="20"/>
      <c r="R39" s="20"/>
      <c r="S39" s="20"/>
    </row>
    <row r="40" spans="1:19" ht="24" customHeight="1" hidden="1">
      <c r="A40" s="201">
        <v>12</v>
      </c>
      <c r="B40" s="203"/>
      <c r="C40" s="213"/>
      <c r="D40" s="203"/>
      <c r="E40" s="212"/>
      <c r="F40" s="212"/>
      <c r="G40" s="204"/>
      <c r="H40" s="204"/>
      <c r="I40" s="205"/>
      <c r="J40" s="204"/>
      <c r="K40" s="205"/>
      <c r="L40" s="205"/>
      <c r="M40" s="211">
        <f>SUM(O40:S42)</f>
        <v>0</v>
      </c>
      <c r="N40" s="7" t="s">
        <v>19</v>
      </c>
      <c r="O40" s="20"/>
      <c r="P40" s="20"/>
      <c r="Q40" s="20"/>
      <c r="R40" s="20"/>
      <c r="S40" s="20"/>
    </row>
    <row r="41" spans="1:19" ht="24" customHeight="1" hidden="1">
      <c r="A41" s="201"/>
      <c r="B41" s="203"/>
      <c r="C41" s="214"/>
      <c r="D41" s="203"/>
      <c r="E41" s="212"/>
      <c r="F41" s="212"/>
      <c r="G41" s="204"/>
      <c r="H41" s="204"/>
      <c r="I41" s="206"/>
      <c r="J41" s="204"/>
      <c r="K41" s="206"/>
      <c r="L41" s="206"/>
      <c r="M41" s="211"/>
      <c r="N41" s="7" t="s">
        <v>69</v>
      </c>
      <c r="O41" s="20"/>
      <c r="P41" s="20"/>
      <c r="Q41" s="20"/>
      <c r="R41" s="20"/>
      <c r="S41" s="20"/>
    </row>
    <row r="42" spans="1:19" ht="24" customHeight="1" hidden="1">
      <c r="A42" s="202"/>
      <c r="B42" s="203"/>
      <c r="C42" s="215"/>
      <c r="D42" s="203"/>
      <c r="E42" s="212"/>
      <c r="F42" s="212"/>
      <c r="G42" s="204"/>
      <c r="H42" s="204"/>
      <c r="I42" s="207"/>
      <c r="J42" s="204"/>
      <c r="K42" s="207"/>
      <c r="L42" s="207"/>
      <c r="M42" s="211"/>
      <c r="N42" s="7" t="s">
        <v>21</v>
      </c>
      <c r="O42" s="20"/>
      <c r="P42" s="20"/>
      <c r="Q42" s="20"/>
      <c r="R42" s="20"/>
      <c r="S42" s="20"/>
    </row>
    <row r="43" spans="1:19" ht="24" customHeight="1" hidden="1">
      <c r="A43" s="201">
        <v>13</v>
      </c>
      <c r="B43" s="203"/>
      <c r="C43" s="213"/>
      <c r="D43" s="203"/>
      <c r="E43" s="212"/>
      <c r="F43" s="212"/>
      <c r="G43" s="204"/>
      <c r="H43" s="204"/>
      <c r="I43" s="205"/>
      <c r="J43" s="204"/>
      <c r="K43" s="205"/>
      <c r="L43" s="205"/>
      <c r="M43" s="211">
        <f>SUM(O43:S45)</f>
        <v>0</v>
      </c>
      <c r="N43" s="7" t="s">
        <v>19</v>
      </c>
      <c r="O43" s="20"/>
      <c r="P43" s="20"/>
      <c r="Q43" s="20"/>
      <c r="R43" s="20"/>
      <c r="S43" s="20"/>
    </row>
    <row r="44" spans="1:19" ht="24" customHeight="1" hidden="1">
      <c r="A44" s="201"/>
      <c r="B44" s="203"/>
      <c r="C44" s="214"/>
      <c r="D44" s="203"/>
      <c r="E44" s="212"/>
      <c r="F44" s="212"/>
      <c r="G44" s="204"/>
      <c r="H44" s="204"/>
      <c r="I44" s="206"/>
      <c r="J44" s="204"/>
      <c r="K44" s="206"/>
      <c r="L44" s="206"/>
      <c r="M44" s="211"/>
      <c r="N44" s="7" t="s">
        <v>69</v>
      </c>
      <c r="O44" s="20"/>
      <c r="P44" s="20"/>
      <c r="Q44" s="20"/>
      <c r="R44" s="20"/>
      <c r="S44" s="20"/>
    </row>
    <row r="45" spans="1:19" ht="24" customHeight="1" hidden="1">
      <c r="A45" s="202"/>
      <c r="B45" s="203"/>
      <c r="C45" s="215"/>
      <c r="D45" s="203"/>
      <c r="E45" s="212"/>
      <c r="F45" s="212"/>
      <c r="G45" s="204"/>
      <c r="H45" s="204"/>
      <c r="I45" s="207"/>
      <c r="J45" s="204"/>
      <c r="K45" s="207"/>
      <c r="L45" s="207"/>
      <c r="M45" s="211"/>
      <c r="N45" s="7" t="s">
        <v>21</v>
      </c>
      <c r="O45" s="20"/>
      <c r="P45" s="20"/>
      <c r="Q45" s="20"/>
      <c r="R45" s="20"/>
      <c r="S45" s="20"/>
    </row>
    <row r="46" spans="1:19" ht="24" customHeight="1" hidden="1">
      <c r="A46" s="201">
        <v>14</v>
      </c>
      <c r="B46" s="203"/>
      <c r="C46" s="213"/>
      <c r="D46" s="203"/>
      <c r="E46" s="212"/>
      <c r="F46" s="212"/>
      <c r="G46" s="204"/>
      <c r="H46" s="204"/>
      <c r="I46" s="205"/>
      <c r="J46" s="204"/>
      <c r="K46" s="204"/>
      <c r="L46" s="204"/>
      <c r="M46" s="211">
        <f>SUM(O46:S48)</f>
        <v>0</v>
      </c>
      <c r="N46" s="7" t="s">
        <v>19</v>
      </c>
      <c r="O46" s="20"/>
      <c r="P46" s="20"/>
      <c r="Q46" s="20"/>
      <c r="R46" s="20"/>
      <c r="S46" s="20"/>
    </row>
    <row r="47" spans="1:19" ht="24" customHeight="1" hidden="1">
      <c r="A47" s="201"/>
      <c r="B47" s="203"/>
      <c r="C47" s="214"/>
      <c r="D47" s="203"/>
      <c r="E47" s="212"/>
      <c r="F47" s="212"/>
      <c r="G47" s="204"/>
      <c r="H47" s="204"/>
      <c r="I47" s="206"/>
      <c r="J47" s="204"/>
      <c r="K47" s="204"/>
      <c r="L47" s="204"/>
      <c r="M47" s="211"/>
      <c r="N47" s="7" t="s">
        <v>69</v>
      </c>
      <c r="O47" s="20"/>
      <c r="P47" s="20"/>
      <c r="Q47" s="20"/>
      <c r="R47" s="20"/>
      <c r="S47" s="20"/>
    </row>
    <row r="48" spans="1:19" ht="24" customHeight="1" hidden="1">
      <c r="A48" s="202"/>
      <c r="B48" s="203"/>
      <c r="C48" s="215"/>
      <c r="D48" s="203"/>
      <c r="E48" s="212"/>
      <c r="F48" s="212"/>
      <c r="G48" s="204"/>
      <c r="H48" s="204"/>
      <c r="I48" s="207"/>
      <c r="J48" s="204"/>
      <c r="K48" s="204"/>
      <c r="L48" s="204"/>
      <c r="M48" s="211"/>
      <c r="N48" s="7" t="s">
        <v>21</v>
      </c>
      <c r="O48" s="20"/>
      <c r="P48" s="20"/>
      <c r="Q48" s="20"/>
      <c r="R48" s="20"/>
      <c r="S48" s="20"/>
    </row>
    <row r="49" spans="1:19" ht="24" customHeight="1" hidden="1">
      <c r="A49" s="201">
        <v>15</v>
      </c>
      <c r="B49" s="203"/>
      <c r="C49" s="213"/>
      <c r="D49" s="203"/>
      <c r="E49" s="212"/>
      <c r="F49" s="212"/>
      <c r="G49" s="204"/>
      <c r="H49" s="204"/>
      <c r="I49" s="205"/>
      <c r="J49" s="204"/>
      <c r="K49" s="204"/>
      <c r="L49" s="204"/>
      <c r="M49" s="211">
        <f>SUM(O49:S51)</f>
        <v>0</v>
      </c>
      <c r="N49" s="7" t="s">
        <v>19</v>
      </c>
      <c r="O49" s="20"/>
      <c r="P49" s="20"/>
      <c r="Q49" s="20"/>
      <c r="R49" s="20"/>
      <c r="S49" s="20"/>
    </row>
    <row r="50" spans="1:19" ht="24" customHeight="1" hidden="1">
      <c r="A50" s="201"/>
      <c r="B50" s="203"/>
      <c r="C50" s="214"/>
      <c r="D50" s="203"/>
      <c r="E50" s="212"/>
      <c r="F50" s="212"/>
      <c r="G50" s="204"/>
      <c r="H50" s="204"/>
      <c r="I50" s="206"/>
      <c r="J50" s="204"/>
      <c r="K50" s="204"/>
      <c r="L50" s="204"/>
      <c r="M50" s="211"/>
      <c r="N50" s="7" t="s">
        <v>69</v>
      </c>
      <c r="O50" s="20"/>
      <c r="P50" s="20"/>
      <c r="Q50" s="20"/>
      <c r="R50" s="20"/>
      <c r="S50" s="20"/>
    </row>
    <row r="51" spans="1:19" ht="24" customHeight="1" hidden="1">
      <c r="A51" s="202"/>
      <c r="B51" s="203"/>
      <c r="C51" s="215"/>
      <c r="D51" s="203"/>
      <c r="E51" s="212"/>
      <c r="F51" s="212"/>
      <c r="G51" s="204"/>
      <c r="H51" s="204"/>
      <c r="I51" s="207"/>
      <c r="J51" s="204"/>
      <c r="K51" s="204"/>
      <c r="L51" s="204"/>
      <c r="M51" s="211"/>
      <c r="N51" s="7" t="s">
        <v>21</v>
      </c>
      <c r="O51" s="20"/>
      <c r="P51" s="20"/>
      <c r="Q51" s="20"/>
      <c r="R51" s="20"/>
      <c r="S51" s="20"/>
    </row>
    <row r="52" spans="1:19" ht="24" customHeight="1" hidden="1">
      <c r="A52" s="201">
        <v>16</v>
      </c>
      <c r="B52" s="203"/>
      <c r="C52" s="213"/>
      <c r="D52" s="203"/>
      <c r="E52" s="212"/>
      <c r="F52" s="212"/>
      <c r="G52" s="204"/>
      <c r="H52" s="204"/>
      <c r="I52" s="205"/>
      <c r="J52" s="204"/>
      <c r="K52" s="204"/>
      <c r="L52" s="204"/>
      <c r="M52" s="211">
        <f>SUM(O52:S54)</f>
        <v>0</v>
      </c>
      <c r="N52" s="7" t="s">
        <v>19</v>
      </c>
      <c r="O52" s="20"/>
      <c r="P52" s="20"/>
      <c r="Q52" s="20"/>
      <c r="R52" s="20"/>
      <c r="S52" s="20"/>
    </row>
    <row r="53" spans="1:19" ht="24" customHeight="1" hidden="1">
      <c r="A53" s="201"/>
      <c r="B53" s="203"/>
      <c r="C53" s="214"/>
      <c r="D53" s="203"/>
      <c r="E53" s="212"/>
      <c r="F53" s="212"/>
      <c r="G53" s="204"/>
      <c r="H53" s="204"/>
      <c r="I53" s="206"/>
      <c r="J53" s="204"/>
      <c r="K53" s="204"/>
      <c r="L53" s="204"/>
      <c r="M53" s="211"/>
      <c r="N53" s="7" t="s">
        <v>69</v>
      </c>
      <c r="O53" s="20"/>
      <c r="P53" s="20"/>
      <c r="Q53" s="20"/>
      <c r="R53" s="20"/>
      <c r="S53" s="20"/>
    </row>
    <row r="54" spans="1:19" ht="24" customHeight="1" hidden="1">
      <c r="A54" s="202"/>
      <c r="B54" s="203"/>
      <c r="C54" s="215"/>
      <c r="D54" s="203"/>
      <c r="E54" s="212"/>
      <c r="F54" s="212"/>
      <c r="G54" s="204"/>
      <c r="H54" s="204"/>
      <c r="I54" s="207"/>
      <c r="J54" s="204"/>
      <c r="K54" s="204"/>
      <c r="L54" s="204"/>
      <c r="M54" s="211"/>
      <c r="N54" s="7" t="s">
        <v>21</v>
      </c>
      <c r="O54" s="20"/>
      <c r="P54" s="20"/>
      <c r="Q54" s="20"/>
      <c r="R54" s="20"/>
      <c r="S54" s="20"/>
    </row>
    <row r="55" spans="1:19" ht="24" customHeight="1" hidden="1">
      <c r="A55" s="201">
        <v>17</v>
      </c>
      <c r="B55" s="203"/>
      <c r="C55" s="213"/>
      <c r="D55" s="203"/>
      <c r="E55" s="212"/>
      <c r="F55" s="212"/>
      <c r="G55" s="204"/>
      <c r="H55" s="204"/>
      <c r="I55" s="205"/>
      <c r="J55" s="204"/>
      <c r="K55" s="204"/>
      <c r="L55" s="204"/>
      <c r="M55" s="211">
        <f>SUM(O55:S57)</f>
        <v>0</v>
      </c>
      <c r="N55" s="7" t="s">
        <v>19</v>
      </c>
      <c r="O55" s="20"/>
      <c r="P55" s="20"/>
      <c r="Q55" s="20"/>
      <c r="R55" s="20"/>
      <c r="S55" s="20"/>
    </row>
    <row r="56" spans="1:19" ht="24" customHeight="1" hidden="1">
      <c r="A56" s="201"/>
      <c r="B56" s="203"/>
      <c r="C56" s="214"/>
      <c r="D56" s="203"/>
      <c r="E56" s="212"/>
      <c r="F56" s="212"/>
      <c r="G56" s="204"/>
      <c r="H56" s="204"/>
      <c r="I56" s="206"/>
      <c r="J56" s="204"/>
      <c r="K56" s="204"/>
      <c r="L56" s="204"/>
      <c r="M56" s="211"/>
      <c r="N56" s="7" t="s">
        <v>69</v>
      </c>
      <c r="O56" s="20"/>
      <c r="P56" s="20"/>
      <c r="Q56" s="20"/>
      <c r="R56" s="20"/>
      <c r="S56" s="20"/>
    </row>
    <row r="57" spans="1:19" ht="24" customHeight="1" hidden="1">
      <c r="A57" s="202"/>
      <c r="B57" s="203"/>
      <c r="C57" s="215"/>
      <c r="D57" s="203"/>
      <c r="E57" s="212"/>
      <c r="F57" s="212"/>
      <c r="G57" s="204"/>
      <c r="H57" s="204"/>
      <c r="I57" s="207"/>
      <c r="J57" s="204"/>
      <c r="K57" s="204"/>
      <c r="L57" s="204"/>
      <c r="M57" s="211"/>
      <c r="N57" s="7" t="s">
        <v>21</v>
      </c>
      <c r="O57" s="20"/>
      <c r="P57" s="20"/>
      <c r="Q57" s="20"/>
      <c r="R57" s="20"/>
      <c r="S57" s="20"/>
    </row>
    <row r="58" spans="1:19" ht="24" customHeight="1" hidden="1">
      <c r="A58" s="201">
        <v>18</v>
      </c>
      <c r="B58" s="203"/>
      <c r="C58" s="213"/>
      <c r="D58" s="203"/>
      <c r="E58" s="212"/>
      <c r="F58" s="212"/>
      <c r="G58" s="204"/>
      <c r="H58" s="204"/>
      <c r="I58" s="205"/>
      <c r="J58" s="204"/>
      <c r="K58" s="204"/>
      <c r="L58" s="204"/>
      <c r="M58" s="211">
        <f>SUM(O58:S60)</f>
        <v>0</v>
      </c>
      <c r="N58" s="7" t="s">
        <v>19</v>
      </c>
      <c r="O58" s="20"/>
      <c r="P58" s="20"/>
      <c r="Q58" s="20"/>
      <c r="R58" s="20"/>
      <c r="S58" s="20"/>
    </row>
    <row r="59" spans="1:19" ht="24" customHeight="1" hidden="1">
      <c r="A59" s="201"/>
      <c r="B59" s="203"/>
      <c r="C59" s="214"/>
      <c r="D59" s="203"/>
      <c r="E59" s="212"/>
      <c r="F59" s="212"/>
      <c r="G59" s="204"/>
      <c r="H59" s="204"/>
      <c r="I59" s="206"/>
      <c r="J59" s="204"/>
      <c r="K59" s="204"/>
      <c r="L59" s="204"/>
      <c r="M59" s="211"/>
      <c r="N59" s="7" t="s">
        <v>69</v>
      </c>
      <c r="O59" s="20"/>
      <c r="P59" s="20"/>
      <c r="Q59" s="20"/>
      <c r="R59" s="20"/>
      <c r="S59" s="20"/>
    </row>
    <row r="60" spans="1:19" ht="24" customHeight="1" hidden="1">
      <c r="A60" s="202"/>
      <c r="B60" s="203"/>
      <c r="C60" s="215"/>
      <c r="D60" s="203"/>
      <c r="E60" s="212"/>
      <c r="F60" s="212"/>
      <c r="G60" s="204"/>
      <c r="H60" s="204"/>
      <c r="I60" s="207"/>
      <c r="J60" s="204"/>
      <c r="K60" s="204"/>
      <c r="L60" s="204"/>
      <c r="M60" s="211"/>
      <c r="N60" s="7" t="s">
        <v>21</v>
      </c>
      <c r="O60" s="20"/>
      <c r="P60" s="20"/>
      <c r="Q60" s="20"/>
      <c r="R60" s="20"/>
      <c r="S60" s="20"/>
    </row>
    <row r="61" spans="1:19" ht="24" customHeight="1" hidden="1">
      <c r="A61" s="201">
        <v>19</v>
      </c>
      <c r="B61" s="203"/>
      <c r="C61" s="213"/>
      <c r="D61" s="203"/>
      <c r="E61" s="212"/>
      <c r="F61" s="212"/>
      <c r="G61" s="204"/>
      <c r="H61" s="204"/>
      <c r="I61" s="205"/>
      <c r="J61" s="204"/>
      <c r="K61" s="204"/>
      <c r="L61" s="204"/>
      <c r="M61" s="211">
        <f>SUM(O61:S63)</f>
        <v>0</v>
      </c>
      <c r="N61" s="7" t="s">
        <v>19</v>
      </c>
      <c r="O61" s="20"/>
      <c r="P61" s="20"/>
      <c r="Q61" s="20"/>
      <c r="R61" s="20"/>
      <c r="S61" s="20"/>
    </row>
    <row r="62" spans="1:19" ht="24" customHeight="1" hidden="1">
      <c r="A62" s="201"/>
      <c r="B62" s="203"/>
      <c r="C62" s="214"/>
      <c r="D62" s="203"/>
      <c r="E62" s="212"/>
      <c r="F62" s="212"/>
      <c r="G62" s="204"/>
      <c r="H62" s="204"/>
      <c r="I62" s="206"/>
      <c r="J62" s="204"/>
      <c r="K62" s="204"/>
      <c r="L62" s="204"/>
      <c r="M62" s="211"/>
      <c r="N62" s="7" t="s">
        <v>69</v>
      </c>
      <c r="O62" s="20"/>
      <c r="P62" s="20"/>
      <c r="Q62" s="20"/>
      <c r="R62" s="20"/>
      <c r="S62" s="20"/>
    </row>
    <row r="63" spans="1:19" ht="24" customHeight="1" hidden="1">
      <c r="A63" s="202"/>
      <c r="B63" s="203"/>
      <c r="C63" s="215"/>
      <c r="D63" s="203"/>
      <c r="E63" s="212"/>
      <c r="F63" s="212"/>
      <c r="G63" s="204"/>
      <c r="H63" s="204"/>
      <c r="I63" s="207"/>
      <c r="J63" s="204"/>
      <c r="K63" s="204"/>
      <c r="L63" s="204"/>
      <c r="M63" s="211"/>
      <c r="N63" s="7" t="s">
        <v>21</v>
      </c>
      <c r="O63" s="20"/>
      <c r="P63" s="20"/>
      <c r="Q63" s="20"/>
      <c r="R63" s="20"/>
      <c r="S63" s="20"/>
    </row>
    <row r="64" spans="1:19" ht="24" customHeight="1" hidden="1">
      <c r="A64" s="201">
        <v>20</v>
      </c>
      <c r="B64" s="203"/>
      <c r="C64" s="213"/>
      <c r="D64" s="203"/>
      <c r="E64" s="212"/>
      <c r="F64" s="212"/>
      <c r="G64" s="204"/>
      <c r="H64" s="204"/>
      <c r="I64" s="205"/>
      <c r="J64" s="204"/>
      <c r="K64" s="204"/>
      <c r="L64" s="204"/>
      <c r="M64" s="211">
        <f>SUM(O64:S66)</f>
        <v>0</v>
      </c>
      <c r="N64" s="7" t="s">
        <v>19</v>
      </c>
      <c r="O64" s="20"/>
      <c r="P64" s="20"/>
      <c r="Q64" s="20"/>
      <c r="R64" s="20"/>
      <c r="S64" s="20"/>
    </row>
    <row r="65" spans="1:19" ht="24" customHeight="1" hidden="1">
      <c r="A65" s="201"/>
      <c r="B65" s="203"/>
      <c r="C65" s="214"/>
      <c r="D65" s="203"/>
      <c r="E65" s="212"/>
      <c r="F65" s="212"/>
      <c r="G65" s="204"/>
      <c r="H65" s="204"/>
      <c r="I65" s="206"/>
      <c r="J65" s="204"/>
      <c r="K65" s="204"/>
      <c r="L65" s="204"/>
      <c r="M65" s="211"/>
      <c r="N65" s="7" t="s">
        <v>69</v>
      </c>
      <c r="O65" s="20"/>
      <c r="P65" s="20"/>
      <c r="Q65" s="20"/>
      <c r="R65" s="20"/>
      <c r="S65" s="20"/>
    </row>
    <row r="66" spans="1:19" ht="24" customHeight="1" hidden="1">
      <c r="A66" s="202"/>
      <c r="B66" s="203"/>
      <c r="C66" s="215"/>
      <c r="D66" s="203"/>
      <c r="E66" s="212"/>
      <c r="F66" s="212"/>
      <c r="G66" s="204"/>
      <c r="H66" s="204"/>
      <c r="I66" s="207"/>
      <c r="J66" s="204"/>
      <c r="K66" s="204"/>
      <c r="L66" s="204"/>
      <c r="M66" s="211"/>
      <c r="N66" s="7" t="s">
        <v>21</v>
      </c>
      <c r="O66" s="20"/>
      <c r="P66" s="20"/>
      <c r="Q66" s="20"/>
      <c r="R66" s="20"/>
      <c r="S66" s="20"/>
    </row>
    <row r="67" spans="1:19" ht="24" customHeight="1" hidden="1">
      <c r="A67" s="201">
        <v>21</v>
      </c>
      <c r="B67" s="203"/>
      <c r="C67" s="213"/>
      <c r="D67" s="203"/>
      <c r="E67" s="212"/>
      <c r="F67" s="212"/>
      <c r="G67" s="204"/>
      <c r="H67" s="204"/>
      <c r="I67" s="205"/>
      <c r="J67" s="204"/>
      <c r="K67" s="204"/>
      <c r="L67" s="204"/>
      <c r="M67" s="211">
        <f>SUM(O67:S69)</f>
        <v>0</v>
      </c>
      <c r="N67" s="7" t="s">
        <v>19</v>
      </c>
      <c r="O67" s="20"/>
      <c r="P67" s="20"/>
      <c r="Q67" s="20"/>
      <c r="R67" s="20"/>
      <c r="S67" s="20"/>
    </row>
    <row r="68" spans="1:19" ht="24" customHeight="1" hidden="1">
      <c r="A68" s="201"/>
      <c r="B68" s="203"/>
      <c r="C68" s="214"/>
      <c r="D68" s="203"/>
      <c r="E68" s="212"/>
      <c r="F68" s="212"/>
      <c r="G68" s="204"/>
      <c r="H68" s="204"/>
      <c r="I68" s="206"/>
      <c r="J68" s="204"/>
      <c r="K68" s="204"/>
      <c r="L68" s="204"/>
      <c r="M68" s="211"/>
      <c r="N68" s="7" t="s">
        <v>69</v>
      </c>
      <c r="O68" s="20"/>
      <c r="P68" s="20"/>
      <c r="Q68" s="20"/>
      <c r="R68" s="20"/>
      <c r="S68" s="20"/>
    </row>
    <row r="69" spans="1:19" ht="24" customHeight="1" hidden="1">
      <c r="A69" s="202"/>
      <c r="B69" s="203"/>
      <c r="C69" s="215"/>
      <c r="D69" s="203"/>
      <c r="E69" s="212"/>
      <c r="F69" s="212"/>
      <c r="G69" s="204"/>
      <c r="H69" s="204"/>
      <c r="I69" s="207"/>
      <c r="J69" s="204"/>
      <c r="K69" s="204"/>
      <c r="L69" s="204"/>
      <c r="M69" s="211"/>
      <c r="N69" s="7" t="s">
        <v>21</v>
      </c>
      <c r="O69" s="20"/>
      <c r="P69" s="20"/>
      <c r="Q69" s="20"/>
      <c r="R69" s="20"/>
      <c r="S69" s="20"/>
    </row>
    <row r="70" spans="1:19" ht="24" customHeight="1" hidden="1">
      <c r="A70" s="201">
        <v>22</v>
      </c>
      <c r="B70" s="203"/>
      <c r="C70" s="213"/>
      <c r="D70" s="203"/>
      <c r="E70" s="212"/>
      <c r="F70" s="212"/>
      <c r="G70" s="204"/>
      <c r="H70" s="204"/>
      <c r="I70" s="205"/>
      <c r="J70" s="204"/>
      <c r="K70" s="204"/>
      <c r="L70" s="204"/>
      <c r="M70" s="211">
        <f>SUM(O70:S72)</f>
        <v>0</v>
      </c>
      <c r="N70" s="7" t="s">
        <v>19</v>
      </c>
      <c r="O70" s="20"/>
      <c r="P70" s="20"/>
      <c r="Q70" s="20"/>
      <c r="R70" s="20"/>
      <c r="S70" s="20"/>
    </row>
    <row r="71" spans="1:19" ht="24" customHeight="1" hidden="1">
      <c r="A71" s="201"/>
      <c r="B71" s="203"/>
      <c r="C71" s="214"/>
      <c r="D71" s="203"/>
      <c r="E71" s="212"/>
      <c r="F71" s="212"/>
      <c r="G71" s="204"/>
      <c r="H71" s="204"/>
      <c r="I71" s="206"/>
      <c r="J71" s="204"/>
      <c r="K71" s="204"/>
      <c r="L71" s="204"/>
      <c r="M71" s="211"/>
      <c r="N71" s="7" t="s">
        <v>69</v>
      </c>
      <c r="O71" s="20"/>
      <c r="P71" s="20"/>
      <c r="Q71" s="20"/>
      <c r="R71" s="20"/>
      <c r="S71" s="20"/>
    </row>
    <row r="72" spans="1:19" ht="24" customHeight="1" hidden="1">
      <c r="A72" s="202"/>
      <c r="B72" s="203"/>
      <c r="C72" s="215"/>
      <c r="D72" s="203"/>
      <c r="E72" s="212"/>
      <c r="F72" s="212"/>
      <c r="G72" s="204"/>
      <c r="H72" s="204"/>
      <c r="I72" s="207"/>
      <c r="J72" s="204"/>
      <c r="K72" s="204"/>
      <c r="L72" s="204"/>
      <c r="M72" s="211"/>
      <c r="N72" s="7" t="s">
        <v>21</v>
      </c>
      <c r="O72" s="20"/>
      <c r="P72" s="20"/>
      <c r="Q72" s="20"/>
      <c r="R72" s="20"/>
      <c r="S72" s="20"/>
    </row>
    <row r="73" spans="1:19" ht="24" customHeight="1" hidden="1">
      <c r="A73" s="201">
        <v>23</v>
      </c>
      <c r="B73" s="216"/>
      <c r="C73" s="213"/>
      <c r="D73" s="203"/>
      <c r="E73" s="212"/>
      <c r="F73" s="212"/>
      <c r="G73" s="204"/>
      <c r="H73" s="204"/>
      <c r="I73" s="205"/>
      <c r="J73" s="204"/>
      <c r="K73" s="204"/>
      <c r="L73" s="204"/>
      <c r="M73" s="211">
        <f>SUM(O73:S75)</f>
        <v>0</v>
      </c>
      <c r="N73" s="7" t="s">
        <v>19</v>
      </c>
      <c r="O73" s="20"/>
      <c r="P73" s="20"/>
      <c r="Q73" s="20"/>
      <c r="R73" s="20"/>
      <c r="S73" s="20"/>
    </row>
    <row r="74" spans="1:19" ht="24" customHeight="1" hidden="1">
      <c r="A74" s="201"/>
      <c r="B74" s="217"/>
      <c r="C74" s="214"/>
      <c r="D74" s="203"/>
      <c r="E74" s="212"/>
      <c r="F74" s="212"/>
      <c r="G74" s="204"/>
      <c r="H74" s="204"/>
      <c r="I74" s="206"/>
      <c r="J74" s="204"/>
      <c r="K74" s="204"/>
      <c r="L74" s="204"/>
      <c r="M74" s="211"/>
      <c r="N74" s="7" t="s">
        <v>69</v>
      </c>
      <c r="O74" s="20"/>
      <c r="P74" s="20"/>
      <c r="Q74" s="20"/>
      <c r="R74" s="20"/>
      <c r="S74" s="20"/>
    </row>
    <row r="75" spans="1:19" ht="24" customHeight="1" hidden="1">
      <c r="A75" s="202"/>
      <c r="B75" s="218"/>
      <c r="C75" s="215"/>
      <c r="D75" s="203"/>
      <c r="E75" s="212"/>
      <c r="F75" s="212"/>
      <c r="G75" s="204"/>
      <c r="H75" s="204"/>
      <c r="I75" s="207"/>
      <c r="J75" s="204"/>
      <c r="K75" s="204"/>
      <c r="L75" s="204"/>
      <c r="M75" s="211"/>
      <c r="N75" s="7" t="s">
        <v>21</v>
      </c>
      <c r="O75" s="20"/>
      <c r="P75" s="20"/>
      <c r="Q75" s="20"/>
      <c r="R75" s="20"/>
      <c r="S75" s="20"/>
    </row>
    <row r="76" spans="1:21" ht="24" customHeight="1">
      <c r="A76" s="201"/>
      <c r="B76" s="219" t="s">
        <v>121</v>
      </c>
      <c r="C76" s="211"/>
      <c r="D76" s="200"/>
      <c r="E76" s="220"/>
      <c r="F76" s="220"/>
      <c r="G76" s="211"/>
      <c r="H76" s="211"/>
      <c r="I76" s="222"/>
      <c r="J76" s="211"/>
      <c r="K76" s="211"/>
      <c r="L76" s="211"/>
      <c r="M76" s="221">
        <f>SUM(M7:M75)</f>
        <v>10700</v>
      </c>
      <c r="N76" s="18" t="s">
        <v>19</v>
      </c>
      <c r="O76" s="118">
        <f aca="true" t="shared" si="0" ref="O76:S78">SUM(O7,O10,O13,O16,O19,O22,O25,O28,O31,O34,O37,O40,O43,O46,O49,O52,O55,O58,O61,O64,O67,O70,O73)</f>
        <v>0</v>
      </c>
      <c r="P76" s="118">
        <f t="shared" si="0"/>
        <v>3400</v>
      </c>
      <c r="Q76" s="118">
        <f t="shared" si="0"/>
        <v>139</v>
      </c>
      <c r="R76" s="118">
        <f t="shared" si="0"/>
        <v>0</v>
      </c>
      <c r="S76" s="118">
        <f t="shared" si="0"/>
        <v>0</v>
      </c>
      <c r="T76" s="17"/>
      <c r="U76" s="19"/>
    </row>
    <row r="77" spans="1:21" ht="24" customHeight="1">
      <c r="A77" s="201"/>
      <c r="B77" s="219"/>
      <c r="C77" s="211"/>
      <c r="D77" s="200"/>
      <c r="E77" s="220"/>
      <c r="F77" s="220"/>
      <c r="G77" s="211"/>
      <c r="H77" s="211"/>
      <c r="I77" s="201"/>
      <c r="J77" s="211"/>
      <c r="K77" s="211"/>
      <c r="L77" s="211"/>
      <c r="M77" s="221"/>
      <c r="N77" s="18" t="s">
        <v>69</v>
      </c>
      <c r="O77" s="118">
        <f t="shared" si="0"/>
        <v>100</v>
      </c>
      <c r="P77" s="118">
        <f t="shared" si="0"/>
        <v>4878</v>
      </c>
      <c r="Q77" s="118">
        <f t="shared" si="0"/>
        <v>139</v>
      </c>
      <c r="R77" s="118">
        <f t="shared" si="0"/>
        <v>0</v>
      </c>
      <c r="S77" s="118">
        <f t="shared" si="0"/>
        <v>0</v>
      </c>
      <c r="T77" s="17"/>
      <c r="U77" s="19"/>
    </row>
    <row r="78" spans="1:21" ht="24" customHeight="1">
      <c r="A78" s="202"/>
      <c r="B78" s="219"/>
      <c r="C78" s="211"/>
      <c r="D78" s="200"/>
      <c r="E78" s="220"/>
      <c r="F78" s="220"/>
      <c r="G78" s="211"/>
      <c r="H78" s="211"/>
      <c r="I78" s="202"/>
      <c r="J78" s="211"/>
      <c r="K78" s="211"/>
      <c r="L78" s="211"/>
      <c r="M78" s="221"/>
      <c r="N78" s="18" t="s">
        <v>21</v>
      </c>
      <c r="O78" s="118">
        <f t="shared" si="0"/>
        <v>0</v>
      </c>
      <c r="P78" s="118">
        <f t="shared" si="0"/>
        <v>1022</v>
      </c>
      <c r="Q78" s="118">
        <f t="shared" si="0"/>
        <v>1022</v>
      </c>
      <c r="R78" s="118">
        <f t="shared" si="0"/>
        <v>0</v>
      </c>
      <c r="S78" s="118">
        <f t="shared" si="0"/>
        <v>0</v>
      </c>
      <c r="T78" s="17"/>
      <c r="U78" s="19"/>
    </row>
    <row r="79" spans="1:21" ht="14.25">
      <c r="A79" s="9"/>
      <c r="B79" s="10"/>
      <c r="C79" s="9"/>
      <c r="D79" s="10"/>
      <c r="E79" s="11"/>
      <c r="F79" s="11"/>
      <c r="G79" s="9"/>
      <c r="H79" s="9"/>
      <c r="I79" s="9"/>
      <c r="J79" s="9"/>
      <c r="K79" s="9"/>
      <c r="L79" s="9"/>
      <c r="M79" s="9"/>
      <c r="N79" s="12"/>
      <c r="O79" s="119">
        <f>SUM(O76:O78)</f>
        <v>100</v>
      </c>
      <c r="P79" s="119">
        <f>SUM(P76:P78)</f>
        <v>9300</v>
      </c>
      <c r="Q79" s="119">
        <f>SUM(Q76:Q78)</f>
        <v>1300</v>
      </c>
      <c r="R79" s="119">
        <f>SUM(R76:R78)</f>
        <v>0</v>
      </c>
      <c r="S79" s="119">
        <f>SUM(S76:S78)</f>
        <v>0</v>
      </c>
      <c r="T79" s="17"/>
      <c r="U79" s="19"/>
    </row>
    <row r="80" spans="1:19" ht="63.75">
      <c r="A80" s="9"/>
      <c r="B80" s="10"/>
      <c r="C80" s="9"/>
      <c r="D80" s="10"/>
      <c r="E80" s="11"/>
      <c r="F80" s="11"/>
      <c r="G80" s="9"/>
      <c r="H80" s="9"/>
      <c r="I80" s="9"/>
      <c r="J80" s="9"/>
      <c r="K80" s="9"/>
      <c r="L80" s="9"/>
      <c r="M80" s="129">
        <f>SUM(O80:S80)</f>
        <v>768.6</v>
      </c>
      <c r="N80" s="48" t="s">
        <v>297</v>
      </c>
      <c r="O80" s="116"/>
      <c r="P80" s="116">
        <v>157</v>
      </c>
      <c r="Q80" s="116">
        <v>179.6</v>
      </c>
      <c r="R80" s="116">
        <v>203.5</v>
      </c>
      <c r="S80" s="117">
        <v>228.5</v>
      </c>
    </row>
    <row r="81" spans="1:19" ht="15">
      <c r="A81" s="9"/>
      <c r="B81" s="15"/>
      <c r="C81" s="9"/>
      <c r="D81" s="10"/>
      <c r="E81" s="11"/>
      <c r="F81" s="11"/>
      <c r="G81" s="9"/>
      <c r="H81" s="9"/>
      <c r="I81" s="9"/>
      <c r="K81" s="9"/>
      <c r="L81" s="16"/>
      <c r="M81" s="9"/>
      <c r="N81" s="12"/>
      <c r="O81" s="13"/>
      <c r="P81" s="13"/>
      <c r="Q81" s="13"/>
      <c r="R81" s="13"/>
      <c r="S81" s="14"/>
    </row>
    <row r="82" spans="15:18" ht="12.75">
      <c r="O82" s="17"/>
      <c r="P82" s="17"/>
      <c r="Q82" s="17"/>
      <c r="R82" s="17"/>
    </row>
    <row r="83" spans="15:18" ht="12.75">
      <c r="O83" s="17"/>
      <c r="P83" s="17"/>
      <c r="Q83" s="17"/>
      <c r="R83" s="17"/>
    </row>
    <row r="84" spans="15:18" ht="12.75">
      <c r="O84" s="17"/>
      <c r="P84" s="17"/>
      <c r="Q84" s="17"/>
      <c r="R84" s="17"/>
    </row>
    <row r="85" spans="15:18" ht="12.75">
      <c r="O85" s="17"/>
      <c r="P85" s="17"/>
      <c r="Q85" s="17"/>
      <c r="R85" s="17"/>
    </row>
    <row r="86" spans="15:18" ht="12.75">
      <c r="O86" s="17"/>
      <c r="P86" s="17"/>
      <c r="Q86" s="17"/>
      <c r="R86" s="17"/>
    </row>
    <row r="87" spans="15:18" ht="12.75">
      <c r="O87" s="17"/>
      <c r="P87" s="17"/>
      <c r="Q87" s="17"/>
      <c r="R87" s="17"/>
    </row>
    <row r="88" spans="15:18" ht="12.75">
      <c r="O88" s="17"/>
      <c r="P88" s="17"/>
      <c r="Q88" s="17"/>
      <c r="R88" s="17"/>
    </row>
    <row r="89" spans="15:18" ht="12.75">
      <c r="O89" s="17"/>
      <c r="P89" s="17"/>
      <c r="Q89" s="17"/>
      <c r="R89" s="17"/>
    </row>
    <row r="90" spans="15:18" ht="12.75">
      <c r="O90" s="17"/>
      <c r="P90" s="17"/>
      <c r="Q90" s="17"/>
      <c r="R90" s="17"/>
    </row>
    <row r="91" spans="15:18" ht="12.75">
      <c r="O91" s="17"/>
      <c r="P91" s="17"/>
      <c r="Q91" s="17"/>
      <c r="R91" s="17"/>
    </row>
    <row r="92" spans="15:18" ht="12.75">
      <c r="O92" s="17"/>
      <c r="P92" s="17"/>
      <c r="Q92" s="17"/>
      <c r="R92" s="17"/>
    </row>
    <row r="93" spans="15:18" ht="12.75">
      <c r="O93" s="17"/>
      <c r="P93" s="17"/>
      <c r="Q93" s="17"/>
      <c r="R93" s="17"/>
    </row>
    <row r="94" spans="15:18" ht="12.75">
      <c r="O94" s="17"/>
      <c r="P94" s="17"/>
      <c r="Q94" s="17"/>
      <c r="R94" s="17"/>
    </row>
    <row r="95" spans="15:18" ht="12.75">
      <c r="O95" s="17"/>
      <c r="P95" s="17"/>
      <c r="Q95" s="17"/>
      <c r="R95" s="17"/>
    </row>
    <row r="96" spans="15:18" ht="12.75">
      <c r="O96" s="17"/>
      <c r="P96" s="17"/>
      <c r="Q96" s="17"/>
      <c r="R96" s="17"/>
    </row>
  </sheetData>
  <mergeCells count="328">
    <mergeCell ref="Q3:S3"/>
    <mergeCell ref="M76:M78"/>
    <mergeCell ref="I76:I78"/>
    <mergeCell ref="J76:J78"/>
    <mergeCell ref="K76:K78"/>
    <mergeCell ref="L76:L78"/>
    <mergeCell ref="J73:J75"/>
    <mergeCell ref="K73:K75"/>
    <mergeCell ref="L73:L75"/>
    <mergeCell ref="M73:M75"/>
    <mergeCell ref="E76:E78"/>
    <mergeCell ref="F76:F78"/>
    <mergeCell ref="G76:G78"/>
    <mergeCell ref="H76:H78"/>
    <mergeCell ref="A76:A78"/>
    <mergeCell ref="B76:B78"/>
    <mergeCell ref="C76:C78"/>
    <mergeCell ref="D76:D78"/>
    <mergeCell ref="M70:M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I70:I72"/>
    <mergeCell ref="J70:J72"/>
    <mergeCell ref="K70:K72"/>
    <mergeCell ref="L70:L72"/>
    <mergeCell ref="E70:E72"/>
    <mergeCell ref="F70:F72"/>
    <mergeCell ref="G70:G72"/>
    <mergeCell ref="H70:H72"/>
    <mergeCell ref="A70:A72"/>
    <mergeCell ref="B70:B72"/>
    <mergeCell ref="C70:C72"/>
    <mergeCell ref="D70:D72"/>
    <mergeCell ref="J67:J69"/>
    <mergeCell ref="K67:K69"/>
    <mergeCell ref="L67:L69"/>
    <mergeCell ref="M67:M69"/>
    <mergeCell ref="M64:M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I64:I66"/>
    <mergeCell ref="J64:J66"/>
    <mergeCell ref="K64:K66"/>
    <mergeCell ref="L64:L66"/>
    <mergeCell ref="E64:E66"/>
    <mergeCell ref="F64:F66"/>
    <mergeCell ref="G64:G66"/>
    <mergeCell ref="H64:H66"/>
    <mergeCell ref="A64:A66"/>
    <mergeCell ref="B64:B66"/>
    <mergeCell ref="C64:C66"/>
    <mergeCell ref="D64:D66"/>
    <mergeCell ref="J61:J63"/>
    <mergeCell ref="K61:K63"/>
    <mergeCell ref="L61:L63"/>
    <mergeCell ref="M61:M63"/>
    <mergeCell ref="M58:M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I58:I60"/>
    <mergeCell ref="J58:J60"/>
    <mergeCell ref="K58:K60"/>
    <mergeCell ref="L58:L60"/>
    <mergeCell ref="E58:E60"/>
    <mergeCell ref="F58:F60"/>
    <mergeCell ref="G58:G60"/>
    <mergeCell ref="H58:H60"/>
    <mergeCell ref="A58:A60"/>
    <mergeCell ref="B58:B60"/>
    <mergeCell ref="C58:C60"/>
    <mergeCell ref="D58:D60"/>
    <mergeCell ref="J55:J57"/>
    <mergeCell ref="K55:K57"/>
    <mergeCell ref="L55:L57"/>
    <mergeCell ref="M55:M57"/>
    <mergeCell ref="M52:M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I52:I54"/>
    <mergeCell ref="J52:J54"/>
    <mergeCell ref="K52:K54"/>
    <mergeCell ref="L52:L54"/>
    <mergeCell ref="E52:E54"/>
    <mergeCell ref="F52:F54"/>
    <mergeCell ref="G52:G54"/>
    <mergeCell ref="H52:H54"/>
    <mergeCell ref="A52:A54"/>
    <mergeCell ref="B52:B54"/>
    <mergeCell ref="C52:C54"/>
    <mergeCell ref="D52:D54"/>
    <mergeCell ref="J49:J51"/>
    <mergeCell ref="K49:K51"/>
    <mergeCell ref="L49:L51"/>
    <mergeCell ref="M49:M51"/>
    <mergeCell ref="M46:M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I46:I48"/>
    <mergeCell ref="J46:J48"/>
    <mergeCell ref="K46:K48"/>
    <mergeCell ref="L46:L48"/>
    <mergeCell ref="E46:E48"/>
    <mergeCell ref="F46:F48"/>
    <mergeCell ref="G46:G48"/>
    <mergeCell ref="H46:H48"/>
    <mergeCell ref="A46:A48"/>
    <mergeCell ref="B46:B48"/>
    <mergeCell ref="C46:C48"/>
    <mergeCell ref="D46:D48"/>
    <mergeCell ref="J43:J45"/>
    <mergeCell ref="K43:K45"/>
    <mergeCell ref="L43:L45"/>
    <mergeCell ref="M43:M45"/>
    <mergeCell ref="M40:M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I40:I42"/>
    <mergeCell ref="J40:J42"/>
    <mergeCell ref="K40:K42"/>
    <mergeCell ref="L40:L42"/>
    <mergeCell ref="E40:E42"/>
    <mergeCell ref="F40:F42"/>
    <mergeCell ref="G40:G42"/>
    <mergeCell ref="H40:H42"/>
    <mergeCell ref="A40:A42"/>
    <mergeCell ref="B40:B42"/>
    <mergeCell ref="C40:C42"/>
    <mergeCell ref="D40:D42"/>
    <mergeCell ref="J37:J39"/>
    <mergeCell ref="K37:K39"/>
    <mergeCell ref="L37:L39"/>
    <mergeCell ref="M37:M39"/>
    <mergeCell ref="M34:M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I34:I36"/>
    <mergeCell ref="J34:J36"/>
    <mergeCell ref="K34:K36"/>
    <mergeCell ref="L34:L36"/>
    <mergeCell ref="E34:E36"/>
    <mergeCell ref="F34:F36"/>
    <mergeCell ref="G34:G36"/>
    <mergeCell ref="H34:H36"/>
    <mergeCell ref="A34:A36"/>
    <mergeCell ref="B34:B36"/>
    <mergeCell ref="C34:C36"/>
    <mergeCell ref="D34:D36"/>
    <mergeCell ref="J31:J33"/>
    <mergeCell ref="K31:K33"/>
    <mergeCell ref="L31:L33"/>
    <mergeCell ref="M31:M33"/>
    <mergeCell ref="M28:M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I28:I30"/>
    <mergeCell ref="J28:J30"/>
    <mergeCell ref="K28:K30"/>
    <mergeCell ref="L28:L30"/>
    <mergeCell ref="E28:E30"/>
    <mergeCell ref="F28:F30"/>
    <mergeCell ref="G28:G30"/>
    <mergeCell ref="H28:H30"/>
    <mergeCell ref="A28:A30"/>
    <mergeCell ref="B28:B30"/>
    <mergeCell ref="C28:C30"/>
    <mergeCell ref="D28:D30"/>
    <mergeCell ref="J25:J27"/>
    <mergeCell ref="K25:K27"/>
    <mergeCell ref="L25:L27"/>
    <mergeCell ref="M25:M27"/>
    <mergeCell ref="M22:M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I22:I24"/>
    <mergeCell ref="J22:J24"/>
    <mergeCell ref="K22:K24"/>
    <mergeCell ref="L22:L24"/>
    <mergeCell ref="E22:E24"/>
    <mergeCell ref="F22:F24"/>
    <mergeCell ref="G22:G24"/>
    <mergeCell ref="H22:H24"/>
    <mergeCell ref="A22:A24"/>
    <mergeCell ref="B22:B24"/>
    <mergeCell ref="C22:C24"/>
    <mergeCell ref="D22:D24"/>
    <mergeCell ref="J19:J21"/>
    <mergeCell ref="K19:K21"/>
    <mergeCell ref="L19:L21"/>
    <mergeCell ref="M19:M21"/>
    <mergeCell ref="M16:M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E16:E18"/>
    <mergeCell ref="F16:F18"/>
    <mergeCell ref="G16:G18"/>
    <mergeCell ref="H16:H18"/>
    <mergeCell ref="A16:A18"/>
    <mergeCell ref="B16:B18"/>
    <mergeCell ref="C16:C18"/>
    <mergeCell ref="D16:D18"/>
    <mergeCell ref="J13:J15"/>
    <mergeCell ref="K13:K15"/>
    <mergeCell ref="L13:L15"/>
    <mergeCell ref="M13:M15"/>
    <mergeCell ref="M10:M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I10:I12"/>
    <mergeCell ref="J10:J12"/>
    <mergeCell ref="K10:K12"/>
    <mergeCell ref="L10:L12"/>
    <mergeCell ref="E10:E12"/>
    <mergeCell ref="F10:F12"/>
    <mergeCell ref="G10:G12"/>
    <mergeCell ref="H10:H12"/>
    <mergeCell ref="A10:A12"/>
    <mergeCell ref="B10:B12"/>
    <mergeCell ref="C10:C12"/>
    <mergeCell ref="D10:D12"/>
    <mergeCell ref="J7:J9"/>
    <mergeCell ref="K7:K9"/>
    <mergeCell ref="L7:L9"/>
    <mergeCell ref="M7:M9"/>
    <mergeCell ref="N4:S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5"/>
    <mergeCell ref="K4:K5"/>
    <mergeCell ref="L4:L5"/>
    <mergeCell ref="M4:M5"/>
    <mergeCell ref="B2:Q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" right="0.4" top="1" bottom="1" header="0.5" footer="0.5"/>
  <pageSetup fitToHeight="1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1"/>
  <sheetViews>
    <sheetView workbookViewId="0" topLeftCell="G1">
      <selection activeCell="T17" sqref="T17"/>
    </sheetView>
  </sheetViews>
  <sheetFormatPr defaultColWidth="9.00390625" defaultRowHeight="12.75"/>
  <cols>
    <col min="1" max="1" width="2.875" style="23" customWidth="1"/>
    <col min="2" max="2" width="19.875" style="23" customWidth="1"/>
    <col min="3" max="3" width="9.125" style="23" customWidth="1"/>
    <col min="4" max="4" width="8.375" style="23" customWidth="1"/>
    <col min="5" max="5" width="6.875" style="23" customWidth="1"/>
    <col min="6" max="6" width="9.25390625" style="23" customWidth="1"/>
    <col min="7" max="7" width="8.625" style="23" customWidth="1"/>
    <col min="8" max="8" width="9.375" style="23" customWidth="1"/>
    <col min="9" max="9" width="15.125" style="23" customWidth="1"/>
    <col min="10" max="10" width="7.25390625" style="23" customWidth="1"/>
    <col min="11" max="11" width="11.00390625" style="23" customWidth="1"/>
    <col min="12" max="12" width="11.125" style="23" customWidth="1"/>
    <col min="13" max="13" width="9.75390625" style="23" customWidth="1"/>
    <col min="14" max="14" width="11.875" style="23" customWidth="1"/>
    <col min="15" max="15" width="7.00390625" style="23" customWidth="1"/>
    <col min="16" max="16" width="8.875" style="23" customWidth="1"/>
    <col min="17" max="17" width="8.375" style="23" customWidth="1"/>
    <col min="18" max="18" width="8.75390625" style="23" customWidth="1"/>
    <col min="19" max="19" width="8.375" style="23" bestFit="1" customWidth="1"/>
    <col min="20" max="16384" width="9.125" style="23" customWidth="1"/>
  </cols>
  <sheetData>
    <row r="2" spans="2:19" ht="15.75">
      <c r="B2" s="160" t="s">
        <v>54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25"/>
      <c r="S2" s="25"/>
    </row>
    <row r="3" spans="1:19" ht="15.75">
      <c r="A3" s="104"/>
      <c r="B3" s="105" t="s">
        <v>281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59" t="s">
        <v>302</v>
      </c>
      <c r="R3" s="159"/>
      <c r="S3" s="159"/>
    </row>
    <row r="4" spans="1:19" ht="41.25" customHeight="1">
      <c r="A4" s="161" t="s">
        <v>0</v>
      </c>
      <c r="B4" s="157" t="s">
        <v>55</v>
      </c>
      <c r="C4" s="157" t="s">
        <v>56</v>
      </c>
      <c r="D4" s="157" t="s">
        <v>57</v>
      </c>
      <c r="E4" s="157" t="s">
        <v>58</v>
      </c>
      <c r="F4" s="157" t="s">
        <v>59</v>
      </c>
      <c r="G4" s="157" t="s">
        <v>60</v>
      </c>
      <c r="H4" s="157" t="s">
        <v>13</v>
      </c>
      <c r="I4" s="157" t="s">
        <v>14</v>
      </c>
      <c r="J4" s="157" t="s">
        <v>15</v>
      </c>
      <c r="K4" s="157" t="s">
        <v>16</v>
      </c>
      <c r="L4" s="157" t="s">
        <v>61</v>
      </c>
      <c r="M4" s="157" t="s">
        <v>62</v>
      </c>
      <c r="N4" s="152" t="s">
        <v>63</v>
      </c>
      <c r="O4" s="152"/>
      <c r="P4" s="152"/>
      <c r="Q4" s="152"/>
      <c r="R4" s="152"/>
      <c r="S4" s="152"/>
    </row>
    <row r="5" spans="1:19" ht="52.5" customHeight="1">
      <c r="A5" s="162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28" t="s">
        <v>22</v>
      </c>
      <c r="O5" s="29">
        <v>2006</v>
      </c>
      <c r="P5" s="29">
        <v>2007</v>
      </c>
      <c r="Q5" s="29">
        <v>2008</v>
      </c>
      <c r="R5" s="29">
        <v>2009</v>
      </c>
      <c r="S5" s="29">
        <v>2010</v>
      </c>
    </row>
    <row r="6" spans="1:19" ht="12.75">
      <c r="A6" s="30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9">
        <v>15</v>
      </c>
      <c r="P6" s="29">
        <v>16</v>
      </c>
      <c r="Q6" s="29">
        <v>17</v>
      </c>
      <c r="R6" s="29">
        <v>18</v>
      </c>
      <c r="S6" s="29">
        <v>19</v>
      </c>
    </row>
    <row r="7" spans="1:19" ht="24" customHeight="1">
      <c r="A7" s="140">
        <v>1</v>
      </c>
      <c r="B7" s="142" t="s">
        <v>282</v>
      </c>
      <c r="C7" s="149" t="s">
        <v>279</v>
      </c>
      <c r="D7" s="142"/>
      <c r="E7" s="142"/>
      <c r="F7" s="142"/>
      <c r="G7" s="149"/>
      <c r="H7" s="149"/>
      <c r="I7" s="146"/>
      <c r="J7" s="149"/>
      <c r="K7" s="149"/>
      <c r="L7" s="149"/>
      <c r="M7" s="139">
        <f>SUM(O7:S9)</f>
        <v>0</v>
      </c>
      <c r="N7" s="32" t="s">
        <v>19</v>
      </c>
      <c r="O7" s="35"/>
      <c r="P7" s="35"/>
      <c r="Q7" s="35"/>
      <c r="R7" s="35"/>
      <c r="S7" s="35"/>
    </row>
    <row r="8" spans="1:19" ht="24" customHeight="1">
      <c r="A8" s="140"/>
      <c r="B8" s="142"/>
      <c r="C8" s="149"/>
      <c r="D8" s="142"/>
      <c r="E8" s="142"/>
      <c r="F8" s="142"/>
      <c r="G8" s="149"/>
      <c r="H8" s="149"/>
      <c r="I8" s="147"/>
      <c r="J8" s="149"/>
      <c r="K8" s="149"/>
      <c r="L8" s="149"/>
      <c r="M8" s="139"/>
      <c r="N8" s="32" t="s">
        <v>69</v>
      </c>
      <c r="O8" s="35"/>
      <c r="P8" s="35"/>
      <c r="Q8" s="35"/>
      <c r="R8" s="35"/>
      <c r="S8" s="35"/>
    </row>
    <row r="9" spans="1:20" ht="24" customHeight="1">
      <c r="A9" s="141"/>
      <c r="B9" s="142"/>
      <c r="C9" s="149"/>
      <c r="D9" s="142"/>
      <c r="E9" s="142"/>
      <c r="F9" s="142"/>
      <c r="G9" s="149"/>
      <c r="H9" s="149"/>
      <c r="I9" s="148"/>
      <c r="J9" s="149"/>
      <c r="K9" s="149"/>
      <c r="L9" s="149"/>
      <c r="M9" s="139"/>
      <c r="N9" s="32" t="s">
        <v>21</v>
      </c>
      <c r="O9" s="35"/>
      <c r="P9" s="35"/>
      <c r="Q9" s="35"/>
      <c r="R9" s="35"/>
      <c r="S9" s="35"/>
      <c r="T9" s="58"/>
    </row>
    <row r="10" spans="1:19" ht="24" customHeight="1">
      <c r="A10" s="140">
        <v>2</v>
      </c>
      <c r="B10" s="142" t="s">
        <v>124</v>
      </c>
      <c r="C10" s="145"/>
      <c r="D10" s="142"/>
      <c r="E10" s="144"/>
      <c r="F10" s="144"/>
      <c r="G10" s="145"/>
      <c r="H10" s="145"/>
      <c r="I10" s="146" t="s">
        <v>125</v>
      </c>
      <c r="J10" s="149" t="s">
        <v>296</v>
      </c>
      <c r="K10" s="145"/>
      <c r="L10" s="145"/>
      <c r="M10" s="139">
        <f>SUM(O10:S12)</f>
        <v>19086</v>
      </c>
      <c r="N10" s="32" t="s">
        <v>19</v>
      </c>
      <c r="O10" s="35"/>
      <c r="P10" s="35"/>
      <c r="Q10" s="35"/>
      <c r="R10" s="35"/>
      <c r="S10" s="35"/>
    </row>
    <row r="11" spans="1:19" ht="24" customHeight="1">
      <c r="A11" s="140"/>
      <c r="B11" s="142"/>
      <c r="C11" s="145"/>
      <c r="D11" s="142"/>
      <c r="E11" s="144"/>
      <c r="F11" s="144"/>
      <c r="G11" s="145"/>
      <c r="H11" s="145"/>
      <c r="I11" s="147"/>
      <c r="J11" s="149"/>
      <c r="K11" s="145"/>
      <c r="L11" s="145"/>
      <c r="M11" s="139"/>
      <c r="N11" s="32" t="s">
        <v>69</v>
      </c>
      <c r="O11" s="35"/>
      <c r="P11" s="35">
        <f>5196-604</f>
        <v>4592</v>
      </c>
      <c r="Q11" s="35"/>
      <c r="R11" s="35"/>
      <c r="S11" s="35"/>
    </row>
    <row r="12" spans="1:20" ht="24" customHeight="1">
      <c r="A12" s="141"/>
      <c r="B12" s="142"/>
      <c r="C12" s="145"/>
      <c r="D12" s="142"/>
      <c r="E12" s="144"/>
      <c r="F12" s="144"/>
      <c r="G12" s="145"/>
      <c r="H12" s="145"/>
      <c r="I12" s="148"/>
      <c r="J12" s="149"/>
      <c r="K12" s="145"/>
      <c r="L12" s="145"/>
      <c r="M12" s="139"/>
      <c r="N12" s="32" t="s">
        <v>21</v>
      </c>
      <c r="O12" s="35"/>
      <c r="P12" s="35">
        <f>750*2+4000-6</f>
        <v>5494</v>
      </c>
      <c r="Q12" s="35"/>
      <c r="R12" s="35">
        <v>9000</v>
      </c>
      <c r="S12" s="35"/>
      <c r="T12" s="58"/>
    </row>
    <row r="13" spans="1:19" ht="24" customHeight="1">
      <c r="A13" s="140">
        <v>3</v>
      </c>
      <c r="B13" s="142" t="s">
        <v>126</v>
      </c>
      <c r="C13" s="145"/>
      <c r="D13" s="146"/>
      <c r="E13" s="154"/>
      <c r="F13" s="154"/>
      <c r="G13" s="145"/>
      <c r="H13" s="145"/>
      <c r="I13" s="146" t="s">
        <v>127</v>
      </c>
      <c r="J13" s="149" t="s">
        <v>296</v>
      </c>
      <c r="K13" s="145"/>
      <c r="L13" s="145"/>
      <c r="M13" s="139">
        <f>SUM(O13:S15)</f>
        <v>200</v>
      </c>
      <c r="N13" s="32" t="s">
        <v>19</v>
      </c>
      <c r="O13" s="35"/>
      <c r="P13" s="35"/>
      <c r="Q13" s="35"/>
      <c r="R13" s="35"/>
      <c r="S13" s="35"/>
    </row>
    <row r="14" spans="1:19" ht="24" customHeight="1">
      <c r="A14" s="140"/>
      <c r="B14" s="142"/>
      <c r="C14" s="145"/>
      <c r="D14" s="147"/>
      <c r="E14" s="155"/>
      <c r="F14" s="155"/>
      <c r="G14" s="145"/>
      <c r="H14" s="145"/>
      <c r="I14" s="147"/>
      <c r="J14" s="149"/>
      <c r="K14" s="145"/>
      <c r="L14" s="145"/>
      <c r="M14" s="139"/>
      <c r="N14" s="32" t="s">
        <v>69</v>
      </c>
      <c r="O14" s="35"/>
      <c r="P14" s="35"/>
      <c r="Q14" s="35"/>
      <c r="R14" s="35"/>
      <c r="S14" s="35"/>
    </row>
    <row r="15" spans="1:20" ht="24" customHeight="1">
      <c r="A15" s="141"/>
      <c r="B15" s="142"/>
      <c r="C15" s="145"/>
      <c r="D15" s="148"/>
      <c r="E15" s="156"/>
      <c r="F15" s="156"/>
      <c r="G15" s="145"/>
      <c r="H15" s="145"/>
      <c r="I15" s="148"/>
      <c r="J15" s="149"/>
      <c r="K15" s="145"/>
      <c r="L15" s="145"/>
      <c r="M15" s="139"/>
      <c r="N15" s="32" t="s">
        <v>21</v>
      </c>
      <c r="O15" s="35">
        <v>200</v>
      </c>
      <c r="P15" s="35"/>
      <c r="Q15" s="35"/>
      <c r="R15" s="35"/>
      <c r="S15" s="35"/>
      <c r="T15" s="58"/>
    </row>
    <row r="16" spans="1:19" ht="34.5" customHeight="1">
      <c r="A16" s="140">
        <v>4</v>
      </c>
      <c r="B16" s="142" t="s">
        <v>128</v>
      </c>
      <c r="C16" s="145"/>
      <c r="D16" s="142"/>
      <c r="E16" s="144"/>
      <c r="F16" s="144"/>
      <c r="G16" s="145"/>
      <c r="H16" s="145"/>
      <c r="I16" s="146" t="s">
        <v>129</v>
      </c>
      <c r="J16" s="145">
        <v>2005</v>
      </c>
      <c r="K16" s="145"/>
      <c r="L16" s="145"/>
      <c r="M16" s="139">
        <f>SUM(O16:S18)</f>
        <v>31104</v>
      </c>
      <c r="N16" s="32" t="s">
        <v>19</v>
      </c>
      <c r="O16" s="35"/>
      <c r="P16" s="35">
        <v>3360</v>
      </c>
      <c r="Q16" s="35"/>
      <c r="R16" s="35">
        <f>1568*2</f>
        <v>3136</v>
      </c>
      <c r="S16" s="35">
        <v>3700</v>
      </c>
    </row>
    <row r="17" spans="1:19" ht="34.5" customHeight="1">
      <c r="A17" s="140"/>
      <c r="B17" s="142"/>
      <c r="C17" s="145"/>
      <c r="D17" s="142"/>
      <c r="E17" s="144"/>
      <c r="F17" s="144"/>
      <c r="G17" s="145"/>
      <c r="H17" s="145"/>
      <c r="I17" s="147"/>
      <c r="J17" s="145"/>
      <c r="K17" s="145"/>
      <c r="L17" s="145"/>
      <c r="M17" s="139"/>
      <c r="N17" s="32" t="s">
        <v>69</v>
      </c>
      <c r="O17" s="35">
        <v>3500</v>
      </c>
      <c r="P17" s="35">
        <v>3360</v>
      </c>
      <c r="Q17" s="35"/>
      <c r="R17" s="35">
        <f>1890+397</f>
        <v>2287</v>
      </c>
      <c r="S17" s="35">
        <f>4406-1771+406+300</f>
        <v>3341</v>
      </c>
    </row>
    <row r="18" spans="1:20" ht="34.5" customHeight="1">
      <c r="A18" s="141"/>
      <c r="B18" s="142"/>
      <c r="C18" s="145"/>
      <c r="D18" s="142"/>
      <c r="E18" s="144"/>
      <c r="F18" s="144"/>
      <c r="G18" s="145"/>
      <c r="H18" s="145"/>
      <c r="I18" s="148"/>
      <c r="J18" s="145"/>
      <c r="K18" s="145"/>
      <c r="L18" s="145"/>
      <c r="M18" s="139"/>
      <c r="N18" s="32" t="s">
        <v>21</v>
      </c>
      <c r="O18" s="35"/>
      <c r="P18" s="35"/>
      <c r="Q18" s="35"/>
      <c r="R18" s="35">
        <f>2108*2-1890-397</f>
        <v>1929</v>
      </c>
      <c r="S18" s="35">
        <f>2360*2+1771</f>
        <v>6491</v>
      </c>
      <c r="T18" s="58"/>
    </row>
    <row r="19" spans="1:19" ht="24" customHeight="1">
      <c r="A19" s="140">
        <v>5</v>
      </c>
      <c r="B19" s="142" t="s">
        <v>130</v>
      </c>
      <c r="C19" s="145"/>
      <c r="D19" s="146">
        <v>1962</v>
      </c>
      <c r="E19" s="154"/>
      <c r="F19" s="154"/>
      <c r="G19" s="145"/>
      <c r="H19" s="145"/>
      <c r="I19" s="146"/>
      <c r="J19" s="149" t="s">
        <v>296</v>
      </c>
      <c r="K19" s="143" t="s">
        <v>131</v>
      </c>
      <c r="L19" s="143" t="s">
        <v>132</v>
      </c>
      <c r="M19" s="139">
        <f>SUM(O19:S21)</f>
        <v>1200</v>
      </c>
      <c r="N19" s="32" t="s">
        <v>19</v>
      </c>
      <c r="O19" s="35"/>
      <c r="P19" s="35"/>
      <c r="Q19" s="35"/>
      <c r="R19" s="35"/>
      <c r="S19" s="35"/>
    </row>
    <row r="20" spans="1:19" ht="24" customHeight="1">
      <c r="A20" s="140"/>
      <c r="B20" s="142"/>
      <c r="C20" s="145"/>
      <c r="D20" s="147"/>
      <c r="E20" s="155"/>
      <c r="F20" s="155"/>
      <c r="G20" s="145"/>
      <c r="H20" s="145"/>
      <c r="I20" s="147"/>
      <c r="J20" s="149"/>
      <c r="K20" s="133"/>
      <c r="L20" s="133"/>
      <c r="M20" s="139"/>
      <c r="N20" s="32" t="s">
        <v>69</v>
      </c>
      <c r="O20" s="35"/>
      <c r="P20" s="35"/>
      <c r="Q20" s="35"/>
      <c r="R20" s="35"/>
      <c r="S20" s="35"/>
    </row>
    <row r="21" spans="1:20" ht="24" customHeight="1">
      <c r="A21" s="141"/>
      <c r="B21" s="142"/>
      <c r="C21" s="145"/>
      <c r="D21" s="148"/>
      <c r="E21" s="156"/>
      <c r="F21" s="156"/>
      <c r="G21" s="145"/>
      <c r="H21" s="145"/>
      <c r="I21" s="148"/>
      <c r="J21" s="149"/>
      <c r="K21" s="134"/>
      <c r="L21" s="134"/>
      <c r="M21" s="139"/>
      <c r="N21" s="32" t="s">
        <v>21</v>
      </c>
      <c r="O21" s="35"/>
      <c r="P21" s="35">
        <v>1200</v>
      </c>
      <c r="Q21" s="35"/>
      <c r="R21" s="35"/>
      <c r="S21" s="35"/>
      <c r="T21" s="58"/>
    </row>
    <row r="22" spans="1:19" ht="24" customHeight="1">
      <c r="A22" s="140">
        <v>6</v>
      </c>
      <c r="B22" s="142" t="s">
        <v>133</v>
      </c>
      <c r="C22" s="145"/>
      <c r="D22" s="142">
        <v>1986</v>
      </c>
      <c r="E22" s="154">
        <v>83</v>
      </c>
      <c r="F22" s="154">
        <v>159.5</v>
      </c>
      <c r="G22" s="145">
        <v>137.3</v>
      </c>
      <c r="H22" s="145"/>
      <c r="I22" s="146" t="s">
        <v>134</v>
      </c>
      <c r="J22" s="149" t="s">
        <v>296</v>
      </c>
      <c r="K22" s="149" t="s">
        <v>135</v>
      </c>
      <c r="L22" s="149" t="s">
        <v>136</v>
      </c>
      <c r="M22" s="139">
        <f>SUM(O22:S24)</f>
        <v>3000</v>
      </c>
      <c r="N22" s="32" t="s">
        <v>19</v>
      </c>
      <c r="O22" s="35"/>
      <c r="P22" s="35"/>
      <c r="Q22" s="35"/>
      <c r="R22" s="35"/>
      <c r="S22" s="35"/>
    </row>
    <row r="23" spans="1:19" ht="24" customHeight="1">
      <c r="A23" s="140"/>
      <c r="B23" s="142"/>
      <c r="C23" s="145"/>
      <c r="D23" s="142"/>
      <c r="E23" s="155"/>
      <c r="F23" s="155"/>
      <c r="G23" s="145"/>
      <c r="H23" s="145"/>
      <c r="I23" s="147"/>
      <c r="J23" s="149"/>
      <c r="K23" s="149"/>
      <c r="L23" s="149"/>
      <c r="M23" s="139"/>
      <c r="N23" s="32" t="s">
        <v>69</v>
      </c>
      <c r="O23" s="35"/>
      <c r="P23" s="35"/>
      <c r="Q23" s="35"/>
      <c r="R23" s="35"/>
      <c r="S23" s="35"/>
    </row>
    <row r="24" spans="1:20" ht="24" customHeight="1">
      <c r="A24" s="141"/>
      <c r="B24" s="142"/>
      <c r="C24" s="145"/>
      <c r="D24" s="142"/>
      <c r="E24" s="156"/>
      <c r="F24" s="156"/>
      <c r="G24" s="145"/>
      <c r="H24" s="145"/>
      <c r="I24" s="148"/>
      <c r="J24" s="149"/>
      <c r="K24" s="149"/>
      <c r="L24" s="149"/>
      <c r="M24" s="139"/>
      <c r="N24" s="32" t="s">
        <v>21</v>
      </c>
      <c r="O24" s="35"/>
      <c r="P24" s="35"/>
      <c r="Q24" s="35"/>
      <c r="R24" s="35"/>
      <c r="S24" s="35">
        <v>3000</v>
      </c>
      <c r="T24" s="58"/>
    </row>
    <row r="25" spans="1:19" ht="24" customHeight="1">
      <c r="A25" s="140">
        <v>7</v>
      </c>
      <c r="B25" s="142" t="s">
        <v>137</v>
      </c>
      <c r="C25" s="145"/>
      <c r="D25" s="142"/>
      <c r="E25" s="154">
        <v>83</v>
      </c>
      <c r="F25" s="154">
        <v>366.8</v>
      </c>
      <c r="G25" s="145">
        <v>903.6</v>
      </c>
      <c r="H25" s="143" t="s">
        <v>138</v>
      </c>
      <c r="I25" s="146" t="s">
        <v>139</v>
      </c>
      <c r="J25" s="149" t="s">
        <v>296</v>
      </c>
      <c r="K25" s="143" t="s">
        <v>140</v>
      </c>
      <c r="L25" s="143" t="s">
        <v>140</v>
      </c>
      <c r="M25" s="139">
        <f>SUM(O25:S27)</f>
        <v>1800</v>
      </c>
      <c r="N25" s="32" t="s">
        <v>19</v>
      </c>
      <c r="O25" s="35"/>
      <c r="P25" s="35"/>
      <c r="Q25" s="35"/>
      <c r="R25" s="35"/>
      <c r="S25" s="35"/>
    </row>
    <row r="26" spans="1:19" ht="24" customHeight="1">
      <c r="A26" s="140"/>
      <c r="B26" s="142"/>
      <c r="C26" s="145"/>
      <c r="D26" s="142"/>
      <c r="E26" s="155"/>
      <c r="F26" s="155"/>
      <c r="G26" s="145"/>
      <c r="H26" s="133"/>
      <c r="I26" s="147"/>
      <c r="J26" s="149"/>
      <c r="K26" s="133"/>
      <c r="L26" s="133"/>
      <c r="M26" s="139"/>
      <c r="N26" s="32" t="s">
        <v>69</v>
      </c>
      <c r="O26" s="35"/>
      <c r="P26" s="35">
        <v>219</v>
      </c>
      <c r="Q26" s="35"/>
      <c r="R26" s="35"/>
      <c r="S26" s="35"/>
    </row>
    <row r="27" spans="1:19" ht="24" customHeight="1">
      <c r="A27" s="141"/>
      <c r="B27" s="142"/>
      <c r="C27" s="145"/>
      <c r="D27" s="142"/>
      <c r="E27" s="156"/>
      <c r="F27" s="156"/>
      <c r="G27" s="145"/>
      <c r="H27" s="134"/>
      <c r="I27" s="148"/>
      <c r="J27" s="149"/>
      <c r="K27" s="134"/>
      <c r="L27" s="134"/>
      <c r="M27" s="139"/>
      <c r="N27" s="32" t="s">
        <v>21</v>
      </c>
      <c r="O27" s="35"/>
      <c r="P27" s="35">
        <f>1800-219</f>
        <v>1581</v>
      </c>
      <c r="Q27" s="35"/>
      <c r="R27" s="35"/>
      <c r="S27" s="35"/>
    </row>
    <row r="28" spans="1:19" ht="24" customHeight="1">
      <c r="A28" s="140">
        <v>8</v>
      </c>
      <c r="B28" s="142" t="s">
        <v>141</v>
      </c>
      <c r="C28" s="145"/>
      <c r="D28" s="142"/>
      <c r="E28" s="154">
        <v>83</v>
      </c>
      <c r="F28" s="154">
        <v>1154</v>
      </c>
      <c r="G28" s="145">
        <v>1147</v>
      </c>
      <c r="H28" s="143" t="s">
        <v>142</v>
      </c>
      <c r="I28" s="146" t="s">
        <v>143</v>
      </c>
      <c r="J28" s="149" t="s">
        <v>296</v>
      </c>
      <c r="K28" s="143" t="s">
        <v>144</v>
      </c>
      <c r="L28" s="143" t="s">
        <v>145</v>
      </c>
      <c r="M28" s="139">
        <f>SUM(O28:S30)</f>
        <v>2000</v>
      </c>
      <c r="N28" s="32" t="s">
        <v>19</v>
      </c>
      <c r="O28" s="35"/>
      <c r="P28" s="35"/>
      <c r="Q28" s="35"/>
      <c r="R28" s="35"/>
      <c r="S28" s="35"/>
    </row>
    <row r="29" spans="1:19" ht="24" customHeight="1">
      <c r="A29" s="140"/>
      <c r="B29" s="142"/>
      <c r="C29" s="145"/>
      <c r="D29" s="142"/>
      <c r="E29" s="155"/>
      <c r="F29" s="155"/>
      <c r="G29" s="145"/>
      <c r="H29" s="133"/>
      <c r="I29" s="147"/>
      <c r="J29" s="149"/>
      <c r="K29" s="133"/>
      <c r="L29" s="133"/>
      <c r="M29" s="139"/>
      <c r="N29" s="32" t="s">
        <v>69</v>
      </c>
      <c r="O29" s="35"/>
      <c r="P29" s="35"/>
      <c r="Q29" s="35"/>
      <c r="R29" s="35"/>
      <c r="S29" s="35"/>
    </row>
    <row r="30" spans="1:19" ht="24" customHeight="1">
      <c r="A30" s="141"/>
      <c r="B30" s="142"/>
      <c r="C30" s="145"/>
      <c r="D30" s="142"/>
      <c r="E30" s="156"/>
      <c r="F30" s="156"/>
      <c r="G30" s="145"/>
      <c r="H30" s="134"/>
      <c r="I30" s="148"/>
      <c r="J30" s="149"/>
      <c r="K30" s="134"/>
      <c r="L30" s="134"/>
      <c r="M30" s="139"/>
      <c r="N30" s="32" t="s">
        <v>21</v>
      </c>
      <c r="O30" s="35"/>
      <c r="P30" s="35"/>
      <c r="Q30" s="35">
        <v>2000</v>
      </c>
      <c r="R30" s="35"/>
      <c r="S30" s="35"/>
    </row>
    <row r="31" spans="1:19" ht="24" customHeight="1">
      <c r="A31" s="140">
        <v>9</v>
      </c>
      <c r="B31" s="142" t="s">
        <v>148</v>
      </c>
      <c r="C31" s="143"/>
      <c r="D31" s="142">
        <v>1996</v>
      </c>
      <c r="E31" s="144">
        <v>50</v>
      </c>
      <c r="F31" s="144">
        <v>1966</v>
      </c>
      <c r="G31" s="145">
        <v>1610</v>
      </c>
      <c r="H31" s="145"/>
      <c r="I31" s="146" t="s">
        <v>147</v>
      </c>
      <c r="J31" s="149" t="s">
        <v>296</v>
      </c>
      <c r="K31" s="149" t="s">
        <v>146</v>
      </c>
      <c r="L31" s="149" t="s">
        <v>146</v>
      </c>
      <c r="M31" s="139">
        <f>SUM(O31:S33)</f>
        <v>1000</v>
      </c>
      <c r="N31" s="32" t="s">
        <v>19</v>
      </c>
      <c r="O31" s="35"/>
      <c r="P31" s="35"/>
      <c r="Q31" s="35"/>
      <c r="R31" s="35"/>
      <c r="S31" s="35"/>
    </row>
    <row r="32" spans="1:19" ht="24" customHeight="1">
      <c r="A32" s="140"/>
      <c r="B32" s="142"/>
      <c r="C32" s="133"/>
      <c r="D32" s="142"/>
      <c r="E32" s="144"/>
      <c r="F32" s="144"/>
      <c r="G32" s="145"/>
      <c r="H32" s="145"/>
      <c r="I32" s="147"/>
      <c r="J32" s="149"/>
      <c r="K32" s="149"/>
      <c r="L32" s="149"/>
      <c r="M32" s="139"/>
      <c r="N32" s="32" t="s">
        <v>69</v>
      </c>
      <c r="O32" s="35"/>
      <c r="P32" s="35"/>
      <c r="Q32" s="35"/>
      <c r="R32" s="35"/>
      <c r="S32" s="35"/>
    </row>
    <row r="33" spans="1:20" ht="24" customHeight="1">
      <c r="A33" s="141"/>
      <c r="B33" s="142"/>
      <c r="C33" s="134"/>
      <c r="D33" s="142"/>
      <c r="E33" s="144"/>
      <c r="F33" s="144"/>
      <c r="G33" s="145"/>
      <c r="H33" s="145"/>
      <c r="I33" s="148"/>
      <c r="J33" s="149"/>
      <c r="K33" s="149"/>
      <c r="L33" s="149"/>
      <c r="M33" s="139"/>
      <c r="N33" s="32" t="s">
        <v>21</v>
      </c>
      <c r="O33" s="35"/>
      <c r="P33" s="35">
        <v>1000</v>
      </c>
      <c r="Q33" s="35"/>
      <c r="R33" s="35"/>
      <c r="S33" s="35"/>
      <c r="T33" s="58"/>
    </row>
    <row r="34" spans="1:20" ht="24" customHeight="1">
      <c r="A34" s="140">
        <v>10</v>
      </c>
      <c r="B34" s="142" t="s">
        <v>149</v>
      </c>
      <c r="C34" s="143"/>
      <c r="D34" s="142">
        <v>1996</v>
      </c>
      <c r="E34" s="144">
        <v>50</v>
      </c>
      <c r="F34" s="144">
        <v>2071</v>
      </c>
      <c r="G34" s="145">
        <v>1707</v>
      </c>
      <c r="H34" s="145"/>
      <c r="I34" s="146" t="s">
        <v>150</v>
      </c>
      <c r="J34" s="149" t="s">
        <v>295</v>
      </c>
      <c r="K34" s="149" t="s">
        <v>151</v>
      </c>
      <c r="L34" s="149" t="s">
        <v>152</v>
      </c>
      <c r="M34" s="139">
        <f>SUM(O34:S36)</f>
        <v>2000</v>
      </c>
      <c r="N34" s="32" t="s">
        <v>19</v>
      </c>
      <c r="O34" s="35"/>
      <c r="P34" s="35"/>
      <c r="Q34" s="35"/>
      <c r="R34" s="35"/>
      <c r="S34" s="35"/>
      <c r="T34" s="58"/>
    </row>
    <row r="35" spans="1:20" ht="24" customHeight="1">
      <c r="A35" s="140"/>
      <c r="B35" s="142"/>
      <c r="C35" s="133"/>
      <c r="D35" s="142"/>
      <c r="E35" s="144"/>
      <c r="F35" s="144"/>
      <c r="G35" s="145"/>
      <c r="H35" s="145"/>
      <c r="I35" s="147"/>
      <c r="J35" s="149"/>
      <c r="K35" s="149"/>
      <c r="L35" s="149"/>
      <c r="M35" s="139"/>
      <c r="N35" s="32" t="s">
        <v>69</v>
      </c>
      <c r="O35" s="35"/>
      <c r="P35" s="35"/>
      <c r="Q35" s="35"/>
      <c r="R35" s="35"/>
      <c r="S35" s="35"/>
      <c r="T35" s="58"/>
    </row>
    <row r="36" spans="1:20" ht="24" customHeight="1">
      <c r="A36" s="141"/>
      <c r="B36" s="142"/>
      <c r="C36" s="134"/>
      <c r="D36" s="142"/>
      <c r="E36" s="144"/>
      <c r="F36" s="144"/>
      <c r="G36" s="145"/>
      <c r="H36" s="145"/>
      <c r="I36" s="148"/>
      <c r="J36" s="149"/>
      <c r="K36" s="149"/>
      <c r="L36" s="149"/>
      <c r="M36" s="139"/>
      <c r="N36" s="32" t="s">
        <v>21</v>
      </c>
      <c r="O36" s="35"/>
      <c r="P36" s="35"/>
      <c r="Q36" s="35"/>
      <c r="R36" s="35"/>
      <c r="S36" s="35">
        <v>2000</v>
      </c>
      <c r="T36" s="58"/>
    </row>
    <row r="37" spans="1:19" ht="24" customHeight="1">
      <c r="A37" s="140">
        <v>11</v>
      </c>
      <c r="B37" s="142" t="s">
        <v>153</v>
      </c>
      <c r="C37" s="143"/>
      <c r="D37" s="142">
        <v>1953</v>
      </c>
      <c r="E37" s="144">
        <v>50</v>
      </c>
      <c r="F37" s="144">
        <v>793.4</v>
      </c>
      <c r="G37" s="145">
        <v>500.4</v>
      </c>
      <c r="H37" s="143" t="s">
        <v>154</v>
      </c>
      <c r="I37" s="146" t="s">
        <v>155</v>
      </c>
      <c r="J37" s="149" t="s">
        <v>295</v>
      </c>
      <c r="K37" s="149" t="s">
        <v>156</v>
      </c>
      <c r="L37" s="149" t="s">
        <v>157</v>
      </c>
      <c r="M37" s="139">
        <f>SUM(O37:S39)</f>
        <v>500</v>
      </c>
      <c r="N37" s="32" t="s">
        <v>19</v>
      </c>
      <c r="O37" s="35"/>
      <c r="P37" s="35"/>
      <c r="Q37" s="35"/>
      <c r="R37" s="35"/>
      <c r="S37" s="35"/>
    </row>
    <row r="38" spans="1:19" ht="24" customHeight="1">
      <c r="A38" s="140"/>
      <c r="B38" s="142"/>
      <c r="C38" s="133"/>
      <c r="D38" s="142"/>
      <c r="E38" s="144"/>
      <c r="F38" s="144"/>
      <c r="G38" s="145"/>
      <c r="H38" s="133"/>
      <c r="I38" s="147"/>
      <c r="J38" s="149"/>
      <c r="K38" s="149"/>
      <c r="L38" s="149"/>
      <c r="M38" s="139"/>
      <c r="N38" s="32" t="s">
        <v>69</v>
      </c>
      <c r="O38" s="35"/>
      <c r="P38" s="35"/>
      <c r="Q38" s="35"/>
      <c r="R38" s="35">
        <v>500</v>
      </c>
      <c r="S38" s="35"/>
    </row>
    <row r="39" spans="1:19" ht="24" customHeight="1">
      <c r="A39" s="141"/>
      <c r="B39" s="142"/>
      <c r="C39" s="134"/>
      <c r="D39" s="142"/>
      <c r="E39" s="144"/>
      <c r="F39" s="144"/>
      <c r="G39" s="145"/>
      <c r="H39" s="134"/>
      <c r="I39" s="148"/>
      <c r="J39" s="149"/>
      <c r="K39" s="149"/>
      <c r="L39" s="149"/>
      <c r="M39" s="139"/>
      <c r="N39" s="32" t="s">
        <v>21</v>
      </c>
      <c r="O39" s="35"/>
      <c r="P39" s="35"/>
      <c r="Q39" s="35"/>
      <c r="R39" s="35"/>
      <c r="S39" s="35"/>
    </row>
    <row r="40" spans="1:19" ht="24" customHeight="1">
      <c r="A40" s="140">
        <v>12</v>
      </c>
      <c r="B40" s="142" t="s">
        <v>158</v>
      </c>
      <c r="C40" s="143"/>
      <c r="D40" s="142"/>
      <c r="E40" s="144"/>
      <c r="F40" s="144"/>
      <c r="G40" s="145"/>
      <c r="H40" s="145"/>
      <c r="I40" s="146"/>
      <c r="J40" s="149" t="s">
        <v>295</v>
      </c>
      <c r="K40" s="143" t="s">
        <v>159</v>
      </c>
      <c r="L40" s="146"/>
      <c r="M40" s="139">
        <f>SUM(O40:S42)</f>
        <v>65610</v>
      </c>
      <c r="N40" s="32" t="s">
        <v>19</v>
      </c>
      <c r="O40" s="35"/>
      <c r="P40" s="35">
        <v>13650</v>
      </c>
      <c r="Q40" s="35">
        <v>11000</v>
      </c>
      <c r="R40" s="35"/>
      <c r="S40" s="35"/>
    </row>
    <row r="41" spans="1:19" ht="24" customHeight="1">
      <c r="A41" s="140"/>
      <c r="B41" s="142"/>
      <c r="C41" s="133"/>
      <c r="D41" s="142"/>
      <c r="E41" s="144"/>
      <c r="F41" s="144"/>
      <c r="G41" s="145"/>
      <c r="H41" s="145"/>
      <c r="I41" s="147"/>
      <c r="J41" s="149"/>
      <c r="K41" s="133"/>
      <c r="L41" s="147"/>
      <c r="M41" s="139"/>
      <c r="N41" s="32" t="s">
        <v>69</v>
      </c>
      <c r="O41" s="35"/>
      <c r="P41" s="35">
        <v>14000</v>
      </c>
      <c r="Q41" s="35">
        <f>16000+610+650</f>
        <v>17260</v>
      </c>
      <c r="R41" s="35"/>
      <c r="S41" s="35"/>
    </row>
    <row r="42" spans="1:19" ht="24" customHeight="1">
      <c r="A42" s="141"/>
      <c r="B42" s="142"/>
      <c r="C42" s="134"/>
      <c r="D42" s="142"/>
      <c r="E42" s="144"/>
      <c r="F42" s="144"/>
      <c r="G42" s="145"/>
      <c r="H42" s="145"/>
      <c r="I42" s="148"/>
      <c r="J42" s="149"/>
      <c r="K42" s="134"/>
      <c r="L42" s="148"/>
      <c r="M42" s="139"/>
      <c r="N42" s="32" t="s">
        <v>21</v>
      </c>
      <c r="O42" s="35">
        <v>700</v>
      </c>
      <c r="P42" s="35">
        <v>609</v>
      </c>
      <c r="Q42" s="35">
        <f>9000-609</f>
        <v>8391</v>
      </c>
      <c r="R42" s="35"/>
      <c r="S42" s="35"/>
    </row>
    <row r="43" spans="1:19" ht="24" customHeight="1">
      <c r="A43" s="140">
        <v>13</v>
      </c>
      <c r="B43" s="146" t="s">
        <v>303</v>
      </c>
      <c r="C43" s="143"/>
      <c r="D43" s="142"/>
      <c r="E43" s="144"/>
      <c r="F43" s="144"/>
      <c r="G43" s="145"/>
      <c r="H43" s="145"/>
      <c r="I43" s="146"/>
      <c r="J43" s="149" t="s">
        <v>295</v>
      </c>
      <c r="K43" s="146"/>
      <c r="L43" s="146"/>
      <c r="M43" s="139">
        <f>SUM(O43:S45)</f>
        <v>1200</v>
      </c>
      <c r="N43" s="32" t="s">
        <v>19</v>
      </c>
      <c r="O43" s="35"/>
      <c r="P43" s="35">
        <v>600</v>
      </c>
      <c r="Q43" s="35"/>
      <c r="R43" s="35"/>
      <c r="S43" s="35"/>
    </row>
    <row r="44" spans="1:19" ht="24" customHeight="1">
      <c r="A44" s="140"/>
      <c r="B44" s="147"/>
      <c r="C44" s="133"/>
      <c r="D44" s="142"/>
      <c r="E44" s="144"/>
      <c r="F44" s="144"/>
      <c r="G44" s="145"/>
      <c r="H44" s="145"/>
      <c r="I44" s="147"/>
      <c r="J44" s="149"/>
      <c r="K44" s="147"/>
      <c r="L44" s="147"/>
      <c r="M44" s="139"/>
      <c r="N44" s="32" t="s">
        <v>69</v>
      </c>
      <c r="O44" s="35"/>
      <c r="P44" s="35">
        <v>600</v>
      </c>
      <c r="Q44" s="35"/>
      <c r="R44" s="35"/>
      <c r="S44" s="35"/>
    </row>
    <row r="45" spans="1:19" ht="24" customHeight="1">
      <c r="A45" s="141"/>
      <c r="B45" s="148"/>
      <c r="C45" s="134"/>
      <c r="D45" s="142"/>
      <c r="E45" s="144"/>
      <c r="F45" s="144"/>
      <c r="G45" s="145"/>
      <c r="H45" s="145"/>
      <c r="I45" s="148"/>
      <c r="J45" s="149"/>
      <c r="K45" s="148"/>
      <c r="L45" s="148"/>
      <c r="M45" s="139"/>
      <c r="N45" s="32" t="s">
        <v>21</v>
      </c>
      <c r="O45" s="35"/>
      <c r="P45" s="35"/>
      <c r="Q45" s="35"/>
      <c r="R45" s="35"/>
      <c r="S45" s="35"/>
    </row>
    <row r="46" spans="1:19" ht="24" customHeight="1">
      <c r="A46" s="140">
        <v>14</v>
      </c>
      <c r="B46" s="146" t="s">
        <v>304</v>
      </c>
      <c r="C46" s="143"/>
      <c r="D46" s="142"/>
      <c r="E46" s="144"/>
      <c r="F46" s="144"/>
      <c r="G46" s="145"/>
      <c r="H46" s="145"/>
      <c r="I46" s="146"/>
      <c r="J46" s="149" t="s">
        <v>295</v>
      </c>
      <c r="K46" s="145"/>
      <c r="L46" s="145"/>
      <c r="M46" s="139">
        <f>SUM(O46:S48)</f>
        <v>1000</v>
      </c>
      <c r="N46" s="32" t="s">
        <v>19</v>
      </c>
      <c r="O46" s="35"/>
      <c r="P46" s="35">
        <v>500</v>
      </c>
      <c r="Q46" s="35"/>
      <c r="R46" s="35"/>
      <c r="S46" s="35"/>
    </row>
    <row r="47" spans="1:19" ht="24" customHeight="1">
      <c r="A47" s="140"/>
      <c r="B47" s="147"/>
      <c r="C47" s="133"/>
      <c r="D47" s="142"/>
      <c r="E47" s="144"/>
      <c r="F47" s="144"/>
      <c r="G47" s="145"/>
      <c r="H47" s="145"/>
      <c r="I47" s="147"/>
      <c r="J47" s="149"/>
      <c r="K47" s="145"/>
      <c r="L47" s="145"/>
      <c r="M47" s="139"/>
      <c r="N47" s="32" t="s">
        <v>69</v>
      </c>
      <c r="O47" s="35"/>
      <c r="P47" s="35">
        <v>500</v>
      </c>
      <c r="Q47" s="35"/>
      <c r="R47" s="35"/>
      <c r="S47" s="35"/>
    </row>
    <row r="48" spans="1:19" ht="24" customHeight="1">
      <c r="A48" s="141"/>
      <c r="B48" s="148"/>
      <c r="C48" s="134"/>
      <c r="D48" s="142"/>
      <c r="E48" s="144"/>
      <c r="F48" s="144"/>
      <c r="G48" s="145"/>
      <c r="H48" s="145"/>
      <c r="I48" s="148"/>
      <c r="J48" s="149"/>
      <c r="K48" s="145"/>
      <c r="L48" s="145"/>
      <c r="M48" s="139"/>
      <c r="N48" s="32" t="s">
        <v>21</v>
      </c>
      <c r="O48" s="35"/>
      <c r="P48" s="35"/>
      <c r="Q48" s="35"/>
      <c r="R48" s="35"/>
      <c r="S48" s="35"/>
    </row>
    <row r="49" spans="1:19" ht="24" customHeight="1">
      <c r="A49" s="140">
        <v>15</v>
      </c>
      <c r="B49" s="142" t="s">
        <v>305</v>
      </c>
      <c r="C49" s="143"/>
      <c r="D49" s="142"/>
      <c r="E49" s="144"/>
      <c r="F49" s="144"/>
      <c r="G49" s="145"/>
      <c r="H49" s="145"/>
      <c r="I49" s="146"/>
      <c r="J49" s="149" t="s">
        <v>295</v>
      </c>
      <c r="K49" s="145"/>
      <c r="L49" s="145"/>
      <c r="M49" s="139">
        <f>SUM(O49:S51)</f>
        <v>2350</v>
      </c>
      <c r="N49" s="32" t="s">
        <v>19</v>
      </c>
      <c r="O49" s="35"/>
      <c r="P49" s="35"/>
      <c r="Q49" s="35">
        <v>1175</v>
      </c>
      <c r="R49" s="35"/>
      <c r="S49" s="35"/>
    </row>
    <row r="50" spans="1:19" ht="24" customHeight="1">
      <c r="A50" s="140"/>
      <c r="B50" s="142"/>
      <c r="C50" s="133"/>
      <c r="D50" s="142"/>
      <c r="E50" s="144"/>
      <c r="F50" s="144"/>
      <c r="G50" s="145"/>
      <c r="H50" s="145"/>
      <c r="I50" s="147"/>
      <c r="J50" s="149"/>
      <c r="K50" s="145"/>
      <c r="L50" s="145"/>
      <c r="M50" s="139"/>
      <c r="N50" s="32" t="s">
        <v>69</v>
      </c>
      <c r="O50" s="35"/>
      <c r="P50" s="35"/>
      <c r="Q50" s="35">
        <v>1175</v>
      </c>
      <c r="R50" s="35"/>
      <c r="S50" s="35"/>
    </row>
    <row r="51" spans="1:19" ht="24" customHeight="1">
      <c r="A51" s="141"/>
      <c r="B51" s="142"/>
      <c r="C51" s="134"/>
      <c r="D51" s="142"/>
      <c r="E51" s="144"/>
      <c r="F51" s="144"/>
      <c r="G51" s="145"/>
      <c r="H51" s="145"/>
      <c r="I51" s="148"/>
      <c r="J51" s="149"/>
      <c r="K51" s="145"/>
      <c r="L51" s="145"/>
      <c r="M51" s="139"/>
      <c r="N51" s="32" t="s">
        <v>21</v>
      </c>
      <c r="O51" s="35"/>
      <c r="P51" s="35"/>
      <c r="Q51" s="35"/>
      <c r="R51" s="35"/>
      <c r="S51" s="35"/>
    </row>
    <row r="52" spans="1:19" ht="24" customHeight="1">
      <c r="A52" s="140">
        <v>16</v>
      </c>
      <c r="B52" s="142" t="s">
        <v>306</v>
      </c>
      <c r="C52" s="143"/>
      <c r="D52" s="142"/>
      <c r="E52" s="144"/>
      <c r="F52" s="144"/>
      <c r="G52" s="145"/>
      <c r="H52" s="145"/>
      <c r="I52" s="146"/>
      <c r="J52" s="149" t="s">
        <v>295</v>
      </c>
      <c r="K52" s="145"/>
      <c r="L52" s="145"/>
      <c r="M52" s="139">
        <f>SUM(O52:S54)</f>
        <v>940</v>
      </c>
      <c r="N52" s="32" t="s">
        <v>19</v>
      </c>
      <c r="O52" s="35"/>
      <c r="P52" s="35"/>
      <c r="Q52" s="35">
        <v>470</v>
      </c>
      <c r="R52" s="35"/>
      <c r="S52" s="35"/>
    </row>
    <row r="53" spans="1:19" ht="24" customHeight="1">
      <c r="A53" s="140"/>
      <c r="B53" s="142"/>
      <c r="C53" s="133"/>
      <c r="D53" s="142"/>
      <c r="E53" s="144"/>
      <c r="F53" s="144"/>
      <c r="G53" s="145"/>
      <c r="H53" s="145"/>
      <c r="I53" s="147"/>
      <c r="J53" s="149"/>
      <c r="K53" s="145"/>
      <c r="L53" s="145"/>
      <c r="M53" s="139"/>
      <c r="N53" s="32" t="s">
        <v>69</v>
      </c>
      <c r="O53" s="35"/>
      <c r="P53" s="35"/>
      <c r="Q53" s="35">
        <v>470</v>
      </c>
      <c r="R53" s="35"/>
      <c r="S53" s="35"/>
    </row>
    <row r="54" spans="1:19" ht="24" customHeight="1">
      <c r="A54" s="141"/>
      <c r="B54" s="142"/>
      <c r="C54" s="134"/>
      <c r="D54" s="142"/>
      <c r="E54" s="144"/>
      <c r="F54" s="144"/>
      <c r="G54" s="145"/>
      <c r="H54" s="145"/>
      <c r="I54" s="148"/>
      <c r="J54" s="149"/>
      <c r="K54" s="145"/>
      <c r="L54" s="145"/>
      <c r="M54" s="139"/>
      <c r="N54" s="32" t="s">
        <v>21</v>
      </c>
      <c r="O54" s="35"/>
      <c r="P54" s="35"/>
      <c r="Q54" s="35"/>
      <c r="R54" s="35"/>
      <c r="S54" s="35"/>
    </row>
    <row r="55" spans="1:19" ht="24" customHeight="1">
      <c r="A55" s="140">
        <v>17</v>
      </c>
      <c r="B55" s="142" t="s">
        <v>307</v>
      </c>
      <c r="C55" s="143"/>
      <c r="D55" s="142"/>
      <c r="E55" s="144"/>
      <c r="F55" s="144"/>
      <c r="G55" s="145"/>
      <c r="H55" s="145"/>
      <c r="I55" s="146"/>
      <c r="J55" s="149" t="s">
        <v>295</v>
      </c>
      <c r="K55" s="145"/>
      <c r="L55" s="145"/>
      <c r="M55" s="139">
        <f>SUM(O55:S57)</f>
        <v>1680</v>
      </c>
      <c r="N55" s="32" t="s">
        <v>19</v>
      </c>
      <c r="O55" s="35"/>
      <c r="P55" s="35"/>
      <c r="Q55" s="35"/>
      <c r="R55" s="35">
        <v>840</v>
      </c>
      <c r="S55" s="35"/>
    </row>
    <row r="56" spans="1:19" ht="24" customHeight="1">
      <c r="A56" s="140"/>
      <c r="B56" s="142"/>
      <c r="C56" s="133"/>
      <c r="D56" s="142"/>
      <c r="E56" s="144"/>
      <c r="F56" s="144"/>
      <c r="G56" s="145"/>
      <c r="H56" s="145"/>
      <c r="I56" s="147"/>
      <c r="J56" s="149"/>
      <c r="K56" s="145"/>
      <c r="L56" s="145"/>
      <c r="M56" s="139"/>
      <c r="N56" s="32" t="s">
        <v>69</v>
      </c>
      <c r="O56" s="35"/>
      <c r="P56" s="35"/>
      <c r="Q56" s="35"/>
      <c r="R56" s="35">
        <v>840</v>
      </c>
      <c r="S56" s="35"/>
    </row>
    <row r="57" spans="1:19" ht="24" customHeight="1">
      <c r="A57" s="141"/>
      <c r="B57" s="142"/>
      <c r="C57" s="134"/>
      <c r="D57" s="142"/>
      <c r="E57" s="144"/>
      <c r="F57" s="144"/>
      <c r="G57" s="145"/>
      <c r="H57" s="145"/>
      <c r="I57" s="148"/>
      <c r="J57" s="149"/>
      <c r="K57" s="145"/>
      <c r="L57" s="145"/>
      <c r="M57" s="139"/>
      <c r="N57" s="32" t="s">
        <v>21</v>
      </c>
      <c r="O57" s="35"/>
      <c r="P57" s="35"/>
      <c r="Q57" s="35"/>
      <c r="R57" s="35"/>
      <c r="S57" s="35"/>
    </row>
    <row r="58" spans="1:19" ht="24" customHeight="1">
      <c r="A58" s="140">
        <v>18</v>
      </c>
      <c r="B58" s="142" t="s">
        <v>308</v>
      </c>
      <c r="C58" s="143"/>
      <c r="D58" s="142"/>
      <c r="E58" s="144"/>
      <c r="F58" s="144"/>
      <c r="G58" s="145"/>
      <c r="H58" s="145"/>
      <c r="I58" s="146"/>
      <c r="J58" s="149" t="s">
        <v>295</v>
      </c>
      <c r="K58" s="145"/>
      <c r="L58" s="145"/>
      <c r="M58" s="139">
        <f>SUM(O58:S60)</f>
        <v>1770</v>
      </c>
      <c r="N58" s="32" t="s">
        <v>19</v>
      </c>
      <c r="O58" s="35"/>
      <c r="P58" s="35"/>
      <c r="Q58" s="35"/>
      <c r="R58" s="35">
        <v>885</v>
      </c>
      <c r="S58" s="35"/>
    </row>
    <row r="59" spans="1:19" ht="24" customHeight="1">
      <c r="A59" s="140"/>
      <c r="B59" s="142"/>
      <c r="C59" s="133"/>
      <c r="D59" s="142"/>
      <c r="E59" s="144"/>
      <c r="F59" s="144"/>
      <c r="G59" s="145"/>
      <c r="H59" s="145"/>
      <c r="I59" s="147"/>
      <c r="J59" s="149"/>
      <c r="K59" s="145"/>
      <c r="L59" s="145"/>
      <c r="M59" s="139"/>
      <c r="N59" s="32" t="s">
        <v>69</v>
      </c>
      <c r="O59" s="35"/>
      <c r="P59" s="35"/>
      <c r="Q59" s="35"/>
      <c r="R59" s="35">
        <v>885</v>
      </c>
      <c r="S59" s="35"/>
    </row>
    <row r="60" spans="1:19" ht="24" customHeight="1">
      <c r="A60" s="141"/>
      <c r="B60" s="142"/>
      <c r="C60" s="134"/>
      <c r="D60" s="142"/>
      <c r="E60" s="144"/>
      <c r="F60" s="144"/>
      <c r="G60" s="145"/>
      <c r="H60" s="145"/>
      <c r="I60" s="148"/>
      <c r="J60" s="149"/>
      <c r="K60" s="145"/>
      <c r="L60" s="145"/>
      <c r="M60" s="139"/>
      <c r="N60" s="32" t="s">
        <v>21</v>
      </c>
      <c r="O60" s="35"/>
      <c r="P60" s="35"/>
      <c r="Q60" s="35"/>
      <c r="R60" s="35"/>
      <c r="S60" s="35"/>
    </row>
    <row r="61" spans="1:21" ht="24" customHeight="1">
      <c r="A61" s="140"/>
      <c r="B61" s="151" t="s">
        <v>121</v>
      </c>
      <c r="C61" s="139"/>
      <c r="D61" s="152"/>
      <c r="E61" s="153"/>
      <c r="F61" s="153"/>
      <c r="G61" s="139"/>
      <c r="H61" s="139"/>
      <c r="I61" s="163"/>
      <c r="J61" s="139"/>
      <c r="K61" s="139"/>
      <c r="L61" s="139"/>
      <c r="M61" s="138">
        <f>SUM(M7:M60)</f>
        <v>136440</v>
      </c>
      <c r="N61" s="59" t="s">
        <v>19</v>
      </c>
      <c r="O61" s="106">
        <f aca="true" t="shared" si="0" ref="O61:S63">SUM(O7,O10,O13,O16,O19,O22,O25,O28,O31,O34,O37,O40,O43,O46,O49,O52,O55,O58)</f>
        <v>0</v>
      </c>
      <c r="P61" s="106">
        <f t="shared" si="0"/>
        <v>18110</v>
      </c>
      <c r="Q61" s="106">
        <f t="shared" si="0"/>
        <v>12645</v>
      </c>
      <c r="R61" s="106">
        <f t="shared" si="0"/>
        <v>4861</v>
      </c>
      <c r="S61" s="106">
        <f t="shared" si="0"/>
        <v>3700</v>
      </c>
      <c r="T61" s="27"/>
      <c r="U61" s="61"/>
    </row>
    <row r="62" spans="1:21" ht="24" customHeight="1">
      <c r="A62" s="140"/>
      <c r="B62" s="151"/>
      <c r="C62" s="139"/>
      <c r="D62" s="152"/>
      <c r="E62" s="153"/>
      <c r="F62" s="153"/>
      <c r="G62" s="139"/>
      <c r="H62" s="139"/>
      <c r="I62" s="140"/>
      <c r="J62" s="139"/>
      <c r="K62" s="139"/>
      <c r="L62" s="139"/>
      <c r="M62" s="138"/>
      <c r="N62" s="59" t="s">
        <v>69</v>
      </c>
      <c r="O62" s="106">
        <f t="shared" si="0"/>
        <v>3500</v>
      </c>
      <c r="P62" s="106">
        <f t="shared" si="0"/>
        <v>23271</v>
      </c>
      <c r="Q62" s="106">
        <f t="shared" si="0"/>
        <v>18905</v>
      </c>
      <c r="R62" s="106">
        <f t="shared" si="0"/>
        <v>4512</v>
      </c>
      <c r="S62" s="106">
        <f t="shared" si="0"/>
        <v>3341</v>
      </c>
      <c r="T62" s="27"/>
      <c r="U62" s="61"/>
    </row>
    <row r="63" spans="1:21" ht="24" customHeight="1">
      <c r="A63" s="141"/>
      <c r="B63" s="151"/>
      <c r="C63" s="139"/>
      <c r="D63" s="152"/>
      <c r="E63" s="153"/>
      <c r="F63" s="153"/>
      <c r="G63" s="139"/>
      <c r="H63" s="139"/>
      <c r="I63" s="141"/>
      <c r="J63" s="139"/>
      <c r="K63" s="139"/>
      <c r="L63" s="139"/>
      <c r="M63" s="138"/>
      <c r="N63" s="59" t="s">
        <v>21</v>
      </c>
      <c r="O63" s="106">
        <f t="shared" si="0"/>
        <v>900</v>
      </c>
      <c r="P63" s="106">
        <f t="shared" si="0"/>
        <v>9884</v>
      </c>
      <c r="Q63" s="106">
        <f t="shared" si="0"/>
        <v>10391</v>
      </c>
      <c r="R63" s="106">
        <f t="shared" si="0"/>
        <v>10929</v>
      </c>
      <c r="S63" s="106">
        <f t="shared" si="0"/>
        <v>11491</v>
      </c>
      <c r="T63" s="27"/>
      <c r="U63" s="61"/>
    </row>
    <row r="64" spans="1:21" ht="14.25">
      <c r="A64" s="43"/>
      <c r="B64" s="44"/>
      <c r="C64" s="43"/>
      <c r="D64" s="44"/>
      <c r="E64" s="45"/>
      <c r="F64" s="45"/>
      <c r="G64" s="43"/>
      <c r="H64" s="43"/>
      <c r="I64" s="43"/>
      <c r="J64" s="43"/>
      <c r="K64" s="43"/>
      <c r="L64" s="43"/>
      <c r="M64" s="43"/>
      <c r="N64" s="46"/>
      <c r="O64" s="47">
        <f>SUM(O61:O63)</f>
        <v>4400</v>
      </c>
      <c r="P64" s="47">
        <f>SUM(P61:P63)</f>
        <v>51265</v>
      </c>
      <c r="Q64" s="47">
        <f>SUM(Q61:Q63)</f>
        <v>41941</v>
      </c>
      <c r="R64" s="47">
        <f>SUM(R61:R63)</f>
        <v>20302</v>
      </c>
      <c r="S64" s="47">
        <f>SUM(S61:S63)</f>
        <v>18532</v>
      </c>
      <c r="T64" s="27"/>
      <c r="U64" s="61"/>
    </row>
    <row r="65" spans="1:19" ht="63.75">
      <c r="A65" s="43"/>
      <c r="B65" s="44"/>
      <c r="C65" s="43"/>
      <c r="D65" s="44"/>
      <c r="E65" s="45"/>
      <c r="F65" s="45"/>
      <c r="G65" s="43"/>
      <c r="H65" s="43"/>
      <c r="I65" s="43"/>
      <c r="J65" s="43"/>
      <c r="K65" s="43"/>
      <c r="L65" s="43"/>
      <c r="M65" s="130">
        <f>SUM(O65:S65)</f>
        <v>17298.93</v>
      </c>
      <c r="N65" s="48" t="s">
        <v>297</v>
      </c>
      <c r="O65" s="49"/>
      <c r="P65" s="116">
        <f>3535.5</f>
        <v>3535.5</v>
      </c>
      <c r="Q65" s="116">
        <f>4042.1</f>
        <v>4042.1</v>
      </c>
      <c r="R65" s="116">
        <f>4579.73</f>
        <v>4579.73</v>
      </c>
      <c r="S65" s="116">
        <f>5141.6</f>
        <v>5141.6</v>
      </c>
    </row>
    <row r="66" spans="1:19" ht="15">
      <c r="A66" s="43"/>
      <c r="B66" s="51"/>
      <c r="C66" s="43"/>
      <c r="D66" s="44"/>
      <c r="E66" s="45"/>
      <c r="F66" s="45"/>
      <c r="G66" s="43"/>
      <c r="H66" s="43"/>
      <c r="I66" s="43"/>
      <c r="K66" s="43"/>
      <c r="L66" s="52"/>
      <c r="M66" s="43"/>
      <c r="N66" s="46"/>
      <c r="O66" s="53"/>
      <c r="P66" s="53"/>
      <c r="Q66" s="53"/>
      <c r="R66" s="53"/>
      <c r="S66" s="54"/>
    </row>
    <row r="68" spans="15:18" ht="12.75">
      <c r="O68" s="27"/>
      <c r="P68" s="27"/>
      <c r="Q68" s="27"/>
      <c r="R68" s="27"/>
    </row>
    <row r="69" spans="15:18" ht="12.75">
      <c r="O69" s="27"/>
      <c r="P69" s="27"/>
      <c r="Q69" s="27"/>
      <c r="R69" s="27"/>
    </row>
    <row r="70" spans="15:18" ht="12.75">
      <c r="O70" s="27"/>
      <c r="P70" s="27"/>
      <c r="Q70" s="27"/>
      <c r="R70" s="27"/>
    </row>
    <row r="71" spans="15:18" ht="12.75">
      <c r="O71" s="27"/>
      <c r="P71" s="27"/>
      <c r="Q71" s="27"/>
      <c r="R71" s="27"/>
    </row>
    <row r="72" spans="15:18" ht="12.75">
      <c r="O72" s="27"/>
      <c r="P72" s="27"/>
      <c r="Q72" s="27"/>
      <c r="R72" s="27"/>
    </row>
    <row r="73" spans="15:18" ht="12.75">
      <c r="O73" s="27"/>
      <c r="P73" s="27"/>
      <c r="Q73" s="27"/>
      <c r="R73" s="27"/>
    </row>
    <row r="74" spans="15:18" ht="12.75">
      <c r="O74" s="27"/>
      <c r="P74" s="27"/>
      <c r="Q74" s="27"/>
      <c r="R74" s="27"/>
    </row>
    <row r="75" spans="15:18" ht="12.75">
      <c r="O75" s="27"/>
      <c r="P75" s="27"/>
      <c r="Q75" s="27"/>
      <c r="R75" s="27"/>
    </row>
    <row r="76" spans="15:18" ht="12.75">
      <c r="O76" s="27"/>
      <c r="P76" s="27"/>
      <c r="Q76" s="27"/>
      <c r="R76" s="27"/>
    </row>
    <row r="77" spans="15:18" ht="12.75">
      <c r="O77" s="27"/>
      <c r="P77" s="27"/>
      <c r="Q77" s="27"/>
      <c r="R77" s="27"/>
    </row>
    <row r="78" spans="15:18" ht="12.75">
      <c r="O78" s="27"/>
      <c r="P78" s="27"/>
      <c r="Q78" s="27"/>
      <c r="R78" s="27"/>
    </row>
    <row r="79" spans="15:18" ht="12.75">
      <c r="O79" s="27"/>
      <c r="P79" s="27"/>
      <c r="Q79" s="27"/>
      <c r="R79" s="27"/>
    </row>
    <row r="80" spans="15:18" ht="12.75">
      <c r="O80" s="27"/>
      <c r="P80" s="27"/>
      <c r="Q80" s="27"/>
      <c r="R80" s="27"/>
    </row>
    <row r="81" spans="15:18" ht="12.75">
      <c r="O81" s="27"/>
      <c r="P81" s="27"/>
      <c r="Q81" s="27"/>
      <c r="R81" s="27"/>
    </row>
  </sheetData>
  <mergeCells count="263">
    <mergeCell ref="Q3:S3"/>
    <mergeCell ref="B2:Q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S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M46:M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M49:M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A61:A63"/>
    <mergeCell ref="B61:B63"/>
    <mergeCell ref="C61:C63"/>
    <mergeCell ref="D61:D63"/>
    <mergeCell ref="E61:E63"/>
    <mergeCell ref="F61:F63"/>
    <mergeCell ref="G61:G63"/>
    <mergeCell ref="H61:H63"/>
    <mergeCell ref="M61:M63"/>
    <mergeCell ref="I61:I63"/>
    <mergeCell ref="J61:J63"/>
    <mergeCell ref="K61:K63"/>
    <mergeCell ref="L61:L63"/>
  </mergeCells>
  <printOptions/>
  <pageMargins left="0.51" right="0.25" top="0.37" bottom="0.3" header="0.5" footer="0.3"/>
  <pageSetup fitToHeight="0" fitToWidth="1" horizontalDpi="600" verticalDpi="600" orientation="landscape" scale="73" r:id="rId1"/>
  <rowBreaks count="2" manualBreakCount="2">
    <brk id="27" max="255" man="1"/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27" sqref="H27"/>
    </sheetView>
  </sheetViews>
  <sheetFormatPr defaultColWidth="9.00390625" defaultRowHeight="12.75"/>
  <cols>
    <col min="1" max="1" width="2.875" style="23" customWidth="1"/>
    <col min="2" max="2" width="19.875" style="23" customWidth="1"/>
    <col min="3" max="3" width="9.125" style="23" customWidth="1"/>
    <col min="4" max="4" width="14.00390625" style="23" bestFit="1" customWidth="1"/>
    <col min="5" max="5" width="12.875" style="23" customWidth="1"/>
    <col min="6" max="6" width="8.625" style="23" customWidth="1"/>
    <col min="7" max="7" width="9.375" style="23" customWidth="1"/>
    <col min="8" max="8" width="9.625" style="23" customWidth="1"/>
    <col min="9" max="9" width="7.875" style="23" customWidth="1"/>
    <col min="10" max="10" width="8.875" style="23" customWidth="1"/>
    <col min="11" max="11" width="9.25390625" style="23" customWidth="1"/>
    <col min="12" max="12" width="7.75390625" style="23" customWidth="1"/>
    <col min="13" max="14" width="5.625" style="23" customWidth="1"/>
    <col min="15" max="15" width="7.75390625" style="23" customWidth="1"/>
    <col min="16" max="16" width="5.625" style="23" customWidth="1"/>
    <col min="17" max="16384" width="9.125" style="23" customWidth="1"/>
  </cols>
  <sheetData>
    <row r="1" ht="12.75">
      <c r="K1" s="27"/>
    </row>
    <row r="2" spans="2:10" ht="31.5" customHeight="1">
      <c r="B2" s="223" t="s">
        <v>293</v>
      </c>
      <c r="C2" s="223"/>
      <c r="D2" s="223"/>
      <c r="E2" s="223"/>
      <c r="F2" s="223"/>
      <c r="G2" s="223"/>
      <c r="H2" s="223"/>
      <c r="I2" s="223"/>
      <c r="J2" s="223"/>
    </row>
    <row r="3" spans="2:16" ht="15.75">
      <c r="B3" s="107"/>
      <c r="C3" s="26"/>
      <c r="D3" s="26"/>
      <c r="E3" s="26"/>
      <c r="F3" s="26"/>
      <c r="G3" s="26"/>
      <c r="H3" s="26"/>
      <c r="I3" s="25"/>
      <c r="J3" s="25"/>
      <c r="K3" s="27"/>
      <c r="L3" s="120">
        <v>2006</v>
      </c>
      <c r="M3" s="120">
        <v>2007</v>
      </c>
      <c r="N3" s="120">
        <v>2008</v>
      </c>
      <c r="O3" s="120">
        <v>2009</v>
      </c>
      <c r="P3" s="120">
        <v>2010</v>
      </c>
    </row>
    <row r="4" spans="1:16" ht="33" customHeight="1">
      <c r="A4" s="161" t="s">
        <v>0</v>
      </c>
      <c r="B4" s="157" t="s">
        <v>55</v>
      </c>
      <c r="C4" s="157" t="s">
        <v>56</v>
      </c>
      <c r="D4" s="157" t="s">
        <v>62</v>
      </c>
      <c r="E4" s="152" t="s">
        <v>63</v>
      </c>
      <c r="F4" s="152"/>
      <c r="G4" s="152"/>
      <c r="H4" s="152"/>
      <c r="I4" s="152"/>
      <c r="J4" s="152"/>
      <c r="L4" s="120">
        <v>42</v>
      </c>
      <c r="M4" s="120">
        <v>37</v>
      </c>
      <c r="N4" s="120">
        <v>31</v>
      </c>
      <c r="O4" s="120">
        <v>25</v>
      </c>
      <c r="P4" s="120">
        <v>20</v>
      </c>
    </row>
    <row r="5" spans="1:16" ht="22.5">
      <c r="A5" s="162"/>
      <c r="B5" s="158"/>
      <c r="C5" s="158"/>
      <c r="D5" s="158"/>
      <c r="E5" s="28" t="s">
        <v>22</v>
      </c>
      <c r="F5" s="29">
        <v>2006</v>
      </c>
      <c r="G5" s="29">
        <v>2007</v>
      </c>
      <c r="H5" s="29">
        <v>2008</v>
      </c>
      <c r="I5" s="29">
        <v>2009</v>
      </c>
      <c r="J5" s="29">
        <v>2010</v>
      </c>
      <c r="L5" s="120">
        <v>33</v>
      </c>
      <c r="M5" s="120">
        <v>28</v>
      </c>
      <c r="N5" s="120">
        <v>24</v>
      </c>
      <c r="O5" s="120">
        <v>20</v>
      </c>
      <c r="P5" s="120">
        <v>15</v>
      </c>
    </row>
    <row r="6" spans="1:16" ht="12.75">
      <c r="A6" s="30">
        <v>1</v>
      </c>
      <c r="B6" s="28">
        <v>2</v>
      </c>
      <c r="C6" s="28">
        <v>3</v>
      </c>
      <c r="D6" s="28">
        <v>13</v>
      </c>
      <c r="E6" s="28">
        <v>14</v>
      </c>
      <c r="F6" s="29">
        <v>15</v>
      </c>
      <c r="G6" s="29">
        <v>16</v>
      </c>
      <c r="H6" s="29">
        <v>17</v>
      </c>
      <c r="I6" s="29">
        <v>18</v>
      </c>
      <c r="J6" s="29">
        <v>19</v>
      </c>
      <c r="L6" s="120">
        <v>25</v>
      </c>
      <c r="M6" s="120">
        <v>35</v>
      </c>
      <c r="N6" s="120">
        <v>45</v>
      </c>
      <c r="O6" s="120">
        <v>55</v>
      </c>
      <c r="P6" s="120">
        <v>65</v>
      </c>
    </row>
    <row r="7" spans="1:16" ht="24" customHeight="1">
      <c r="A7" s="163">
        <v>1</v>
      </c>
      <c r="B7" s="227" t="str">
        <f>ЦЭС!B3</f>
        <v>СЕТИ ЭЛЕКТРОСНАБЖЕНИЯ</v>
      </c>
      <c r="C7" s="224"/>
      <c r="D7" s="163">
        <f>ЦЭС!M76</f>
        <v>42000</v>
      </c>
      <c r="E7" s="32" t="s">
        <v>19</v>
      </c>
      <c r="F7" s="108">
        <f>ЦЭС!O76</f>
        <v>0</v>
      </c>
      <c r="G7" s="108">
        <f>ЦЭС!P76</f>
        <v>0</v>
      </c>
      <c r="H7" s="108">
        <f>ЦЭС!Q76</f>
        <v>0</v>
      </c>
      <c r="I7" s="108">
        <f>ЦЭС!R76</f>
        <v>0</v>
      </c>
      <c r="J7" s="108">
        <f>ЦЭС!S76</f>
        <v>0</v>
      </c>
      <c r="K7" s="125">
        <f>SUM(F7:J7)</f>
        <v>0</v>
      </c>
      <c r="L7" s="123">
        <f>F7/F10</f>
        <v>0</v>
      </c>
      <c r="M7" s="123">
        <f>G7/G10</f>
        <v>0</v>
      </c>
      <c r="N7" s="123">
        <f>H7/H10</f>
        <v>0</v>
      </c>
      <c r="O7" s="123">
        <f>I7/I10</f>
        <v>0</v>
      </c>
      <c r="P7" s="123">
        <f>J7/J10</f>
        <v>0</v>
      </c>
    </row>
    <row r="8" spans="1:16" ht="24" customHeight="1">
      <c r="A8" s="140"/>
      <c r="B8" s="228"/>
      <c r="C8" s="225"/>
      <c r="D8" s="140"/>
      <c r="E8" s="32" t="s">
        <v>69</v>
      </c>
      <c r="F8" s="108">
        <f>ЦЭС!O77</f>
        <v>0</v>
      </c>
      <c r="G8" s="108">
        <f>ЦЭС!P77</f>
        <v>0</v>
      </c>
      <c r="H8" s="108">
        <f>ЦЭС!Q77</f>
        <v>0</v>
      </c>
      <c r="I8" s="108">
        <f>ЦЭС!R77</f>
        <v>0</v>
      </c>
      <c r="J8" s="108">
        <f>ЦЭС!S77</f>
        <v>0</v>
      </c>
      <c r="K8" s="125">
        <f>SUM(F8:J8)</f>
        <v>0</v>
      </c>
      <c r="L8" s="123">
        <f>F8/F10</f>
        <v>0</v>
      </c>
      <c r="M8" s="123">
        <f>G8/G10</f>
        <v>0</v>
      </c>
      <c r="N8" s="123">
        <f>H8/H10</f>
        <v>0</v>
      </c>
      <c r="O8" s="123">
        <f>I8/I10</f>
        <v>0</v>
      </c>
      <c r="P8" s="123">
        <f>J8/J10</f>
        <v>0</v>
      </c>
    </row>
    <row r="9" spans="1:16" ht="24" customHeight="1">
      <c r="A9" s="141"/>
      <c r="B9" s="229"/>
      <c r="C9" s="226"/>
      <c r="D9" s="141"/>
      <c r="E9" s="32" t="s">
        <v>21</v>
      </c>
      <c r="F9" s="108">
        <f>ЦЭС!O78</f>
        <v>1577</v>
      </c>
      <c r="G9" s="108">
        <f>ЦЭС!P78</f>
        <v>11000</v>
      </c>
      <c r="H9" s="108">
        <f>ЦЭС!Q78</f>
        <v>11000</v>
      </c>
      <c r="I9" s="108">
        <f>ЦЭС!R78</f>
        <v>10000</v>
      </c>
      <c r="J9" s="108">
        <f>ЦЭС!S78</f>
        <v>8423</v>
      </c>
      <c r="K9" s="125">
        <f>SUM(F9:J9)</f>
        <v>42000</v>
      </c>
      <c r="L9" s="123">
        <f>F9/F10</f>
        <v>1</v>
      </c>
      <c r="M9" s="123">
        <f>G9/G10</f>
        <v>1</v>
      </c>
      <c r="N9" s="123">
        <f>H9/H10</f>
        <v>1</v>
      </c>
      <c r="O9" s="123">
        <f>I9/I10</f>
        <v>1</v>
      </c>
      <c r="P9" s="123">
        <f>J9/J10</f>
        <v>1</v>
      </c>
    </row>
    <row r="10" spans="1:16" ht="24" customHeight="1">
      <c r="A10" s="31"/>
      <c r="B10" s="109"/>
      <c r="C10" s="110"/>
      <c r="D10" s="31"/>
      <c r="E10" s="32"/>
      <c r="F10" s="111">
        <f aca="true" t="shared" si="0" ref="F10:K10">SUM(F7:F9)</f>
        <v>1577</v>
      </c>
      <c r="G10" s="111">
        <f t="shared" si="0"/>
        <v>11000</v>
      </c>
      <c r="H10" s="111">
        <f t="shared" si="0"/>
        <v>11000</v>
      </c>
      <c r="I10" s="111">
        <f t="shared" si="0"/>
        <v>10000</v>
      </c>
      <c r="J10" s="111">
        <f t="shared" si="0"/>
        <v>8423</v>
      </c>
      <c r="K10" s="112">
        <f t="shared" si="0"/>
        <v>42000</v>
      </c>
      <c r="L10" s="121"/>
      <c r="M10" s="122"/>
      <c r="N10" s="122"/>
      <c r="O10" s="122"/>
      <c r="P10" s="122"/>
    </row>
    <row r="11" spans="1:16" ht="24" customHeight="1">
      <c r="A11" s="163">
        <v>2</v>
      </c>
      <c r="B11" s="227" t="str">
        <f>ВодоКанал!B3</f>
        <v>СЕТИ ВОДОСНАБЖЕНИЯ </v>
      </c>
      <c r="C11" s="224"/>
      <c r="D11" s="163">
        <f>SUM(F11:J13)</f>
        <v>83400</v>
      </c>
      <c r="E11" s="32" t="s">
        <v>19</v>
      </c>
      <c r="F11" s="108">
        <f>ВодоКанал!O86</f>
        <v>0</v>
      </c>
      <c r="G11" s="108">
        <f>ВодоКанал!P86</f>
        <v>9500</v>
      </c>
      <c r="H11" s="108">
        <f>ВодоКанал!Q86</f>
        <v>8250</v>
      </c>
      <c r="I11" s="108">
        <f>ВодоКанал!R86</f>
        <v>2875</v>
      </c>
      <c r="J11" s="108">
        <f>ВодоКанал!S86</f>
        <v>1439</v>
      </c>
      <c r="K11" s="125">
        <f>SUM(F11:J11)</f>
        <v>22064</v>
      </c>
      <c r="L11" s="123">
        <f aca="true" t="shared" si="1" ref="L11:N13">F11/F$14</f>
        <v>0</v>
      </c>
      <c r="M11" s="123">
        <f t="shared" si="1"/>
        <v>0.34515332073826477</v>
      </c>
      <c r="N11" s="123">
        <f t="shared" si="1"/>
        <v>0.3066914498141264</v>
      </c>
      <c r="O11" s="123">
        <f aca="true" t="shared" si="2" ref="O11:P13">I11/I$14</f>
        <v>0.24455597141884994</v>
      </c>
      <c r="P11" s="123">
        <f t="shared" si="2"/>
        <v>0.1507753562447611</v>
      </c>
    </row>
    <row r="12" spans="1:16" ht="24" customHeight="1">
      <c r="A12" s="140"/>
      <c r="B12" s="228"/>
      <c r="C12" s="225"/>
      <c r="D12" s="140"/>
      <c r="E12" s="32" t="s">
        <v>69</v>
      </c>
      <c r="F12" s="108">
        <f>ВодоКанал!O87</f>
        <v>0</v>
      </c>
      <c r="G12" s="108">
        <f>ВодоКанал!P87</f>
        <v>11563</v>
      </c>
      <c r="H12" s="108">
        <f>ВодоКанал!Q87</f>
        <v>11937</v>
      </c>
      <c r="I12" s="108">
        <f>ВодоКанал!R87</f>
        <v>1900</v>
      </c>
      <c r="J12" s="108">
        <f>ВодоКанал!S87</f>
        <v>844</v>
      </c>
      <c r="K12" s="125">
        <f>SUM(F12:J12)</f>
        <v>26244</v>
      </c>
      <c r="L12" s="123">
        <f t="shared" si="1"/>
        <v>0</v>
      </c>
      <c r="M12" s="123">
        <f t="shared" si="1"/>
        <v>0.4201060892312164</v>
      </c>
      <c r="N12" s="123">
        <f t="shared" si="1"/>
        <v>0.4437546468401487</v>
      </c>
      <c r="O12" s="123">
        <f t="shared" si="2"/>
        <v>0.16161959850289215</v>
      </c>
      <c r="P12" s="123">
        <f t="shared" si="2"/>
        <v>0.0884325230511316</v>
      </c>
    </row>
    <row r="13" spans="1:16" ht="24" customHeight="1">
      <c r="A13" s="141"/>
      <c r="B13" s="229"/>
      <c r="C13" s="226"/>
      <c r="D13" s="141"/>
      <c r="E13" s="32" t="s">
        <v>21</v>
      </c>
      <c r="F13" s="108">
        <f>ВодоКанал!O88</f>
        <v>7676</v>
      </c>
      <c r="G13" s="108">
        <f>ВодоКанал!P88</f>
        <v>6461</v>
      </c>
      <c r="H13" s="108">
        <f>ВодоКанал!Q88</f>
        <v>6713</v>
      </c>
      <c r="I13" s="108">
        <f>ВодоКанал!R88</f>
        <v>6981</v>
      </c>
      <c r="J13" s="108">
        <f>ВодоКанал!S88</f>
        <v>7261</v>
      </c>
      <c r="K13" s="125">
        <f>SUM(F13:J13)</f>
        <v>35092</v>
      </c>
      <c r="L13" s="123">
        <f t="shared" si="1"/>
        <v>1</v>
      </c>
      <c r="M13" s="123">
        <f t="shared" si="1"/>
        <v>0.2347405900305188</v>
      </c>
      <c r="N13" s="123">
        <f t="shared" si="1"/>
        <v>0.24955390334572491</v>
      </c>
      <c r="O13" s="123">
        <f t="shared" si="2"/>
        <v>0.5938244300782579</v>
      </c>
      <c r="P13" s="123">
        <f t="shared" si="2"/>
        <v>0.7607921207041073</v>
      </c>
    </row>
    <row r="14" spans="1:16" ht="24" customHeight="1">
      <c r="A14" s="31"/>
      <c r="B14" s="109"/>
      <c r="C14" s="110"/>
      <c r="D14" s="31"/>
      <c r="E14" s="32"/>
      <c r="F14" s="111">
        <f aca="true" t="shared" si="3" ref="F14:K14">SUM(F11:F13)</f>
        <v>7676</v>
      </c>
      <c r="G14" s="111">
        <f t="shared" si="3"/>
        <v>27524</v>
      </c>
      <c r="H14" s="111">
        <f t="shared" si="3"/>
        <v>26900</v>
      </c>
      <c r="I14" s="111">
        <f t="shared" si="3"/>
        <v>11756</v>
      </c>
      <c r="J14" s="111">
        <f t="shared" si="3"/>
        <v>9544</v>
      </c>
      <c r="K14" s="112">
        <f t="shared" si="3"/>
        <v>83400</v>
      </c>
      <c r="L14" s="121"/>
      <c r="M14" s="122"/>
      <c r="N14" s="122"/>
      <c r="O14" s="122"/>
      <c r="P14" s="122"/>
    </row>
    <row r="15" spans="1:16" ht="24" customHeight="1">
      <c r="A15" s="163">
        <v>3</v>
      </c>
      <c r="B15" s="227" t="str">
        <f>ПСЦ!B3</f>
        <v>СЕТИ ТЕПЛОСНАБЖЕНИЯ</v>
      </c>
      <c r="C15" s="224"/>
      <c r="D15" s="163">
        <f>SUM(F15:J17)</f>
        <v>174100</v>
      </c>
      <c r="E15" s="32" t="s">
        <v>19</v>
      </c>
      <c r="F15" s="108">
        <f>ПСЦ!O127</f>
        <v>0</v>
      </c>
      <c r="G15" s="108">
        <f>ПСЦ!P127</f>
        <v>0</v>
      </c>
      <c r="H15" s="108">
        <f>ПСЦ!Q127</f>
        <v>2598.75</v>
      </c>
      <c r="I15" s="108">
        <f>ПСЦ!R127</f>
        <v>0</v>
      </c>
      <c r="J15" s="108">
        <f>ПСЦ!S127</f>
        <v>0</v>
      </c>
      <c r="K15" s="66">
        <f>SUM(F15:J15)</f>
        <v>2598.75</v>
      </c>
      <c r="L15" s="123">
        <f aca="true" t="shared" si="4" ref="L15:N17">F15/F$18</f>
        <v>0</v>
      </c>
      <c r="M15" s="123">
        <f t="shared" si="4"/>
        <v>0</v>
      </c>
      <c r="N15" s="123">
        <f t="shared" si="4"/>
        <v>0.060690098085007006</v>
      </c>
      <c r="O15" s="123">
        <f aca="true" t="shared" si="5" ref="O15:P17">I15/I$18</f>
        <v>0</v>
      </c>
      <c r="P15" s="123">
        <f t="shared" si="5"/>
        <v>0</v>
      </c>
    </row>
    <row r="16" spans="1:16" ht="24" customHeight="1">
      <c r="A16" s="140"/>
      <c r="B16" s="228"/>
      <c r="C16" s="225"/>
      <c r="D16" s="140"/>
      <c r="E16" s="32" t="s">
        <v>69</v>
      </c>
      <c r="F16" s="108">
        <f>ПСЦ!O128</f>
        <v>0</v>
      </c>
      <c r="G16" s="108">
        <f>ПСЦ!P128</f>
        <v>0</v>
      </c>
      <c r="H16" s="108">
        <f>ПСЦ!Q128</f>
        <v>4039</v>
      </c>
      <c r="I16" s="108">
        <f>ПСЦ!R128</f>
        <v>2054</v>
      </c>
      <c r="J16" s="108">
        <f>ПСЦ!S128</f>
        <v>0</v>
      </c>
      <c r="K16" s="66">
        <f>SUM(F16:J16)</f>
        <v>6093</v>
      </c>
      <c r="L16" s="123">
        <f t="shared" si="4"/>
        <v>0</v>
      </c>
      <c r="M16" s="123">
        <f t="shared" si="4"/>
        <v>0</v>
      </c>
      <c r="N16" s="123">
        <f t="shared" si="4"/>
        <v>0.09432508173750584</v>
      </c>
      <c r="O16" s="123">
        <f t="shared" si="5"/>
        <v>0.0504408044989072</v>
      </c>
      <c r="P16" s="123">
        <f t="shared" si="5"/>
        <v>0</v>
      </c>
    </row>
    <row r="17" spans="1:16" ht="24" customHeight="1">
      <c r="A17" s="141"/>
      <c r="B17" s="229"/>
      <c r="C17" s="226"/>
      <c r="D17" s="141"/>
      <c r="E17" s="32" t="s">
        <v>21</v>
      </c>
      <c r="F17" s="108">
        <f>ПСЦ!O129</f>
        <v>15454</v>
      </c>
      <c r="G17" s="108">
        <f>ПСЦ!P129</f>
        <v>33840</v>
      </c>
      <c r="H17" s="108">
        <f>ПСЦ!Q129</f>
        <v>36182.25</v>
      </c>
      <c r="I17" s="108">
        <f>ПСЦ!R129</f>
        <v>38667</v>
      </c>
      <c r="J17" s="108">
        <f>ПСЦ!S129</f>
        <v>41265</v>
      </c>
      <c r="K17" s="66">
        <f>SUM(F17:J17)</f>
        <v>165408.25</v>
      </c>
      <c r="L17" s="123">
        <f t="shared" si="4"/>
        <v>1</v>
      </c>
      <c r="M17" s="123">
        <f t="shared" si="4"/>
        <v>1</v>
      </c>
      <c r="N17" s="123">
        <f t="shared" si="4"/>
        <v>0.8449848201774871</v>
      </c>
      <c r="O17" s="123">
        <f t="shared" si="5"/>
        <v>0.9495591955010928</v>
      </c>
      <c r="P17" s="123">
        <f t="shared" si="5"/>
        <v>1</v>
      </c>
    </row>
    <row r="18" spans="1:16" ht="24" customHeight="1">
      <c r="A18" s="31"/>
      <c r="B18" s="109"/>
      <c r="C18" s="110"/>
      <c r="D18" s="31"/>
      <c r="E18" s="32"/>
      <c r="F18" s="111">
        <f aca="true" t="shared" si="6" ref="F18:K18">SUM(F15:F17)</f>
        <v>15454</v>
      </c>
      <c r="G18" s="111">
        <f t="shared" si="6"/>
        <v>33840</v>
      </c>
      <c r="H18" s="111">
        <f t="shared" si="6"/>
        <v>42820</v>
      </c>
      <c r="I18" s="111">
        <f t="shared" si="6"/>
        <v>40721</v>
      </c>
      <c r="J18" s="111">
        <f t="shared" si="6"/>
        <v>41265</v>
      </c>
      <c r="K18" s="112">
        <f t="shared" si="6"/>
        <v>174100</v>
      </c>
      <c r="L18" s="121"/>
      <c r="M18" s="122"/>
      <c r="N18" s="122"/>
      <c r="O18" s="122"/>
      <c r="P18" s="122"/>
    </row>
    <row r="19" spans="1:16" ht="24" customHeight="1">
      <c r="A19" s="163">
        <v>4</v>
      </c>
      <c r="B19" s="227" t="str">
        <f>ЦГУС!B2</f>
        <v>СЕТИ  ГАЗОСНАБЖЕНИЯ</v>
      </c>
      <c r="C19" s="224"/>
      <c r="D19" s="163">
        <f>SUM(F19:J21)</f>
        <v>12170</v>
      </c>
      <c r="E19" s="32" t="s">
        <v>19</v>
      </c>
      <c r="F19" s="108">
        <f>ЦГУС!N79</f>
        <v>0</v>
      </c>
      <c r="G19" s="108">
        <f>ЦГУС!O79</f>
        <v>0</v>
      </c>
      <c r="H19" s="108">
        <f>ЦГУС!P79</f>
        <v>0</v>
      </c>
      <c r="I19" s="108">
        <f>ЦГУС!Q79</f>
        <v>0</v>
      </c>
      <c r="J19" s="108">
        <f>ЦГУС!R79</f>
        <v>0</v>
      </c>
      <c r="K19" s="66">
        <f>SUM(F19:J19)</f>
        <v>0</v>
      </c>
      <c r="L19" s="123">
        <f aca="true" t="shared" si="7" ref="L19:P21">F19/F$22</f>
        <v>0</v>
      </c>
      <c r="M19" s="123">
        <f t="shared" si="7"/>
        <v>0</v>
      </c>
      <c r="N19" s="123">
        <f t="shared" si="7"/>
        <v>0</v>
      </c>
      <c r="O19" s="123">
        <f t="shared" si="7"/>
        <v>0</v>
      </c>
      <c r="P19" s="123">
        <f t="shared" si="7"/>
        <v>0</v>
      </c>
    </row>
    <row r="20" spans="1:16" ht="24" customHeight="1">
      <c r="A20" s="140"/>
      <c r="B20" s="228"/>
      <c r="C20" s="225"/>
      <c r="D20" s="140"/>
      <c r="E20" s="32" t="s">
        <v>69</v>
      </c>
      <c r="F20" s="108">
        <f>ЦГУС!N80</f>
        <v>1400</v>
      </c>
      <c r="G20" s="108">
        <f>ЦГУС!O80</f>
        <v>470</v>
      </c>
      <c r="H20" s="108">
        <f>ЦГУС!P80</f>
        <v>200</v>
      </c>
      <c r="I20" s="108">
        <f>ЦГУС!Q80</f>
        <v>0</v>
      </c>
      <c r="J20" s="108">
        <f>ЦГУС!R80</f>
        <v>430</v>
      </c>
      <c r="K20" s="66">
        <f>SUM(F20:J20)</f>
        <v>2500</v>
      </c>
      <c r="L20" s="123">
        <f t="shared" si="7"/>
        <v>0.7368421052631579</v>
      </c>
      <c r="M20" s="123">
        <f t="shared" si="7"/>
        <v>0.17735849056603772</v>
      </c>
      <c r="N20" s="123">
        <f t="shared" si="7"/>
        <v>0.08163265306122448</v>
      </c>
      <c r="O20" s="123">
        <f t="shared" si="7"/>
        <v>0</v>
      </c>
      <c r="P20" s="123">
        <f t="shared" si="7"/>
        <v>0.15140845070422534</v>
      </c>
    </row>
    <row r="21" spans="1:16" ht="24" customHeight="1">
      <c r="A21" s="141"/>
      <c r="B21" s="229"/>
      <c r="C21" s="226"/>
      <c r="D21" s="141"/>
      <c r="E21" s="32" t="s">
        <v>21</v>
      </c>
      <c r="F21" s="108">
        <f>ЦГУС!N81</f>
        <v>500</v>
      </c>
      <c r="G21" s="108">
        <f>ЦГУС!O81</f>
        <v>2180</v>
      </c>
      <c r="H21" s="108">
        <f>ЦГУС!P81</f>
        <v>2250</v>
      </c>
      <c r="I21" s="108">
        <f>ЦГУС!Q81</f>
        <v>2330</v>
      </c>
      <c r="J21" s="108">
        <f>ЦГУС!R81</f>
        <v>2410</v>
      </c>
      <c r="K21" s="66">
        <f>SUM(F21:J21)</f>
        <v>9670</v>
      </c>
      <c r="L21" s="123">
        <f t="shared" si="7"/>
        <v>0.2631578947368421</v>
      </c>
      <c r="M21" s="123">
        <f t="shared" si="7"/>
        <v>0.8226415094339623</v>
      </c>
      <c r="N21" s="123">
        <f t="shared" si="7"/>
        <v>0.9183673469387755</v>
      </c>
      <c r="O21" s="123">
        <f t="shared" si="7"/>
        <v>1</v>
      </c>
      <c r="P21" s="123">
        <f t="shared" si="7"/>
        <v>0.8485915492957746</v>
      </c>
    </row>
    <row r="22" spans="1:16" ht="24" customHeight="1">
      <c r="A22" s="31"/>
      <c r="B22" s="109"/>
      <c r="C22" s="110"/>
      <c r="D22" s="31"/>
      <c r="E22" s="32"/>
      <c r="F22" s="111">
        <f aca="true" t="shared" si="8" ref="F22:K22">SUM(F19:F21)</f>
        <v>1900</v>
      </c>
      <c r="G22" s="111">
        <f t="shared" si="8"/>
        <v>2650</v>
      </c>
      <c r="H22" s="111">
        <f t="shared" si="8"/>
        <v>2450</v>
      </c>
      <c r="I22" s="111">
        <f t="shared" si="8"/>
        <v>2330</v>
      </c>
      <c r="J22" s="111">
        <f t="shared" si="8"/>
        <v>2840</v>
      </c>
      <c r="K22" s="112">
        <f t="shared" si="8"/>
        <v>12170</v>
      </c>
      <c r="L22" s="121"/>
      <c r="M22" s="122"/>
      <c r="N22" s="122"/>
      <c r="O22" s="122"/>
      <c r="P22" s="122"/>
    </row>
    <row r="23" spans="1:16" ht="24" customHeight="1">
      <c r="A23" s="163">
        <v>5</v>
      </c>
      <c r="B23" s="227" t="str">
        <f>ТБО!B3</f>
        <v>ОБЪЕКТЫ УТИЛИЗАЦИИ (ЗАХОРОНЕНИЯ) ТВЕРДЫХ БЫТОВЫХ ОТХОДОВ</v>
      </c>
      <c r="C23" s="224"/>
      <c r="D23" s="163">
        <f>SUM(F23:J25)</f>
        <v>10700</v>
      </c>
      <c r="E23" s="32" t="s">
        <v>19</v>
      </c>
      <c r="F23" s="108">
        <f>ТБО!O76</f>
        <v>0</v>
      </c>
      <c r="G23" s="108">
        <f>ТБО!P76</f>
        <v>3400</v>
      </c>
      <c r="H23" s="108">
        <f>ТБО!Q76</f>
        <v>139</v>
      </c>
      <c r="I23" s="108">
        <f>ТБО!R76</f>
        <v>0</v>
      </c>
      <c r="J23" s="108">
        <f>ТБО!S76</f>
        <v>0</v>
      </c>
      <c r="K23" s="66">
        <f>SUM(F23:J23)</f>
        <v>3539</v>
      </c>
      <c r="L23" s="123">
        <f aca="true" t="shared" si="9" ref="L23:N25">F23/F$26</f>
        <v>0</v>
      </c>
      <c r="M23" s="123">
        <f t="shared" si="9"/>
        <v>0.3655913978494624</v>
      </c>
      <c r="N23" s="123">
        <f t="shared" si="9"/>
        <v>0.10692307692307693</v>
      </c>
      <c r="O23" s="123">
        <v>0</v>
      </c>
      <c r="P23" s="123">
        <v>0</v>
      </c>
    </row>
    <row r="24" spans="1:16" ht="24" customHeight="1">
      <c r="A24" s="140"/>
      <c r="B24" s="228"/>
      <c r="C24" s="225"/>
      <c r="D24" s="140"/>
      <c r="E24" s="32" t="s">
        <v>69</v>
      </c>
      <c r="F24" s="108">
        <f>ТБО!O77</f>
        <v>100</v>
      </c>
      <c r="G24" s="108">
        <f>ТБО!P77</f>
        <v>4878</v>
      </c>
      <c r="H24" s="108">
        <f>ТБО!Q77</f>
        <v>139</v>
      </c>
      <c r="I24" s="108">
        <f>ТБО!R77</f>
        <v>0</v>
      </c>
      <c r="J24" s="108">
        <f>ТБО!S77</f>
        <v>0</v>
      </c>
      <c r="K24" s="66">
        <f>SUM(F24:J24)</f>
        <v>5117</v>
      </c>
      <c r="L24" s="123">
        <f t="shared" si="9"/>
        <v>1</v>
      </c>
      <c r="M24" s="123">
        <f t="shared" si="9"/>
        <v>0.5245161290322581</v>
      </c>
      <c r="N24" s="123">
        <f t="shared" si="9"/>
        <v>0.10692307692307693</v>
      </c>
      <c r="O24" s="123">
        <v>0</v>
      </c>
      <c r="P24" s="123">
        <v>0</v>
      </c>
    </row>
    <row r="25" spans="1:16" ht="24" customHeight="1">
      <c r="A25" s="141"/>
      <c r="B25" s="229"/>
      <c r="C25" s="226"/>
      <c r="D25" s="141"/>
      <c r="E25" s="32" t="s">
        <v>21</v>
      </c>
      <c r="F25" s="108">
        <f>ТБО!O78</f>
        <v>0</v>
      </c>
      <c r="G25" s="108">
        <f>ТБО!P78</f>
        <v>1022</v>
      </c>
      <c r="H25" s="108">
        <f>ТБО!Q78</f>
        <v>1022</v>
      </c>
      <c r="I25" s="108">
        <f>ТБО!R78</f>
        <v>0</v>
      </c>
      <c r="J25" s="108">
        <f>ТБО!S78</f>
        <v>0</v>
      </c>
      <c r="K25" s="66">
        <f>SUM(F25:J25)</f>
        <v>2044</v>
      </c>
      <c r="L25" s="123">
        <f t="shared" si="9"/>
        <v>0</v>
      </c>
      <c r="M25" s="123">
        <f t="shared" si="9"/>
        <v>0.10989247311827957</v>
      </c>
      <c r="N25" s="123">
        <f t="shared" si="9"/>
        <v>0.7861538461538462</v>
      </c>
      <c r="O25" s="123">
        <v>0</v>
      </c>
      <c r="P25" s="123">
        <v>0</v>
      </c>
    </row>
    <row r="26" spans="1:16" ht="24" customHeight="1">
      <c r="A26" s="31"/>
      <c r="B26" s="109"/>
      <c r="C26" s="110"/>
      <c r="D26" s="31"/>
      <c r="E26" s="32"/>
      <c r="F26" s="111">
        <f aca="true" t="shared" si="10" ref="F26:K26">SUM(F23:F25)</f>
        <v>100</v>
      </c>
      <c r="G26" s="111">
        <f t="shared" si="10"/>
        <v>9300</v>
      </c>
      <c r="H26" s="111">
        <f t="shared" si="10"/>
        <v>1300</v>
      </c>
      <c r="I26" s="111">
        <f t="shared" si="10"/>
        <v>0</v>
      </c>
      <c r="J26" s="111">
        <f t="shared" si="10"/>
        <v>0</v>
      </c>
      <c r="K26" s="112">
        <f t="shared" si="10"/>
        <v>10700</v>
      </c>
      <c r="L26" s="121"/>
      <c r="M26" s="122"/>
      <c r="N26" s="122"/>
      <c r="O26" s="122"/>
      <c r="P26" s="122"/>
    </row>
    <row r="27" spans="1:16" ht="24" customHeight="1">
      <c r="A27" s="163">
        <v>6</v>
      </c>
      <c r="B27" s="227" t="str">
        <f>КализацияИочистные!B3</f>
        <v>СЕТИ ВОДООТВЕДЕНИЯ И ОЧИСТКИ СТОЧНЫХ ВОД (ХОЗЯЙСТВЕННО-БЫТОВЫХ И ЛИВНЕВЫХ)</v>
      </c>
      <c r="C27" s="224"/>
      <c r="D27" s="163">
        <f>SUM(F27:J29)</f>
        <v>136440</v>
      </c>
      <c r="E27" s="32" t="s">
        <v>19</v>
      </c>
      <c r="F27" s="108">
        <f>КализацияИочистные!O61</f>
        <v>0</v>
      </c>
      <c r="G27" s="108">
        <f>КализацияИочистные!P61</f>
        <v>18110</v>
      </c>
      <c r="H27" s="108">
        <f>КализацияИочистные!Q61</f>
        <v>12645</v>
      </c>
      <c r="I27" s="108">
        <f>КализацияИочистные!R61</f>
        <v>4861</v>
      </c>
      <c r="J27" s="108">
        <f>КализацияИочистные!S61</f>
        <v>3700</v>
      </c>
      <c r="K27" s="125">
        <f>SUM(F27:J27)</f>
        <v>39316</v>
      </c>
      <c r="L27" s="123">
        <f aca="true" t="shared" si="11" ref="L27:N29">F27/F$30</f>
        <v>0</v>
      </c>
      <c r="M27" s="123">
        <f t="shared" si="11"/>
        <v>0.3532624597678728</v>
      </c>
      <c r="N27" s="123">
        <f t="shared" si="11"/>
        <v>0.30149495720178343</v>
      </c>
      <c r="O27" s="123">
        <f aca="true" t="shared" si="12" ref="O27:P29">I27/I$30</f>
        <v>0.23943453846911633</v>
      </c>
      <c r="P27" s="123">
        <f t="shared" si="12"/>
        <v>0.19965465141377078</v>
      </c>
    </row>
    <row r="28" spans="1:16" ht="24" customHeight="1">
      <c r="A28" s="140"/>
      <c r="B28" s="228"/>
      <c r="C28" s="225"/>
      <c r="D28" s="140"/>
      <c r="E28" s="32" t="s">
        <v>69</v>
      </c>
      <c r="F28" s="108">
        <f>КализацияИочистные!O62</f>
        <v>3500</v>
      </c>
      <c r="G28" s="108">
        <f>КализацияИочистные!P62</f>
        <v>23271</v>
      </c>
      <c r="H28" s="108">
        <f>КализацияИочистные!Q62</f>
        <v>18905</v>
      </c>
      <c r="I28" s="108">
        <f>КализацияИочистные!R62</f>
        <v>4512</v>
      </c>
      <c r="J28" s="108">
        <f>КализацияИочистные!S62</f>
        <v>3341</v>
      </c>
      <c r="K28" s="125">
        <f>SUM(F28:J28)</f>
        <v>53529</v>
      </c>
      <c r="L28" s="123">
        <f t="shared" si="11"/>
        <v>0.7954545454545454</v>
      </c>
      <c r="M28" s="123">
        <f t="shared" si="11"/>
        <v>0.4539354335316493</v>
      </c>
      <c r="N28" s="123">
        <f t="shared" si="11"/>
        <v>0.4507522472044062</v>
      </c>
      <c r="O28" s="123">
        <f t="shared" si="12"/>
        <v>0.22224411388040588</v>
      </c>
      <c r="P28" s="123">
        <f t="shared" si="12"/>
        <v>0.1802827541549752</v>
      </c>
    </row>
    <row r="29" spans="1:16" ht="24" customHeight="1">
      <c r="A29" s="141"/>
      <c r="B29" s="229"/>
      <c r="C29" s="226"/>
      <c r="D29" s="141"/>
      <c r="E29" s="32" t="s">
        <v>21</v>
      </c>
      <c r="F29" s="108">
        <f>КализацияИочистные!O63</f>
        <v>900</v>
      </c>
      <c r="G29" s="108">
        <f>КализацияИочистные!P63</f>
        <v>9884</v>
      </c>
      <c r="H29" s="108">
        <f>КализацияИочистные!Q63</f>
        <v>10391</v>
      </c>
      <c r="I29" s="108">
        <f>КализацияИочистные!R63</f>
        <v>10929</v>
      </c>
      <c r="J29" s="108">
        <f>КализацияИочистные!S63</f>
        <v>11491</v>
      </c>
      <c r="K29" s="125">
        <f>SUM(F29:J29)</f>
        <v>43595</v>
      </c>
      <c r="L29" s="123">
        <f t="shared" si="11"/>
        <v>0.20454545454545456</v>
      </c>
      <c r="M29" s="123">
        <f t="shared" si="11"/>
        <v>0.1928021067004779</v>
      </c>
      <c r="N29" s="123">
        <f t="shared" si="11"/>
        <v>0.24775279559381036</v>
      </c>
      <c r="O29" s="123">
        <f t="shared" si="12"/>
        <v>0.5383213476504778</v>
      </c>
      <c r="P29" s="123">
        <f t="shared" si="12"/>
        <v>0.620062594431254</v>
      </c>
    </row>
    <row r="30" spans="1:16" ht="24" customHeight="1">
      <c r="A30" s="31"/>
      <c r="B30" s="109"/>
      <c r="C30" s="110"/>
      <c r="D30" s="31"/>
      <c r="E30" s="32"/>
      <c r="F30" s="113">
        <f aca="true" t="shared" si="13" ref="F30:K30">SUM(F27:F29)</f>
        <v>4400</v>
      </c>
      <c r="G30" s="113">
        <f t="shared" si="13"/>
        <v>51265</v>
      </c>
      <c r="H30" s="113">
        <f t="shared" si="13"/>
        <v>41941</v>
      </c>
      <c r="I30" s="113">
        <f t="shared" si="13"/>
        <v>20302</v>
      </c>
      <c r="J30" s="113">
        <f t="shared" si="13"/>
        <v>18532</v>
      </c>
      <c r="K30" s="112">
        <f t="shared" si="13"/>
        <v>136440</v>
      </c>
      <c r="L30" s="121"/>
      <c r="M30" s="122"/>
      <c r="N30" s="122"/>
      <c r="O30" s="122"/>
      <c r="P30" s="122"/>
    </row>
    <row r="31" spans="1:16" ht="24" customHeight="1">
      <c r="A31" s="140"/>
      <c r="B31" s="151" t="s">
        <v>121</v>
      </c>
      <c r="C31" s="139"/>
      <c r="D31" s="138">
        <f>SUM(D7:D30)</f>
        <v>458810</v>
      </c>
      <c r="E31" s="59" t="s">
        <v>19</v>
      </c>
      <c r="F31" s="65">
        <f aca="true" t="shared" si="14" ref="F31:J33">SUM(F7,F11,F15,F19,F23,F27)</f>
        <v>0</v>
      </c>
      <c r="G31" s="65">
        <f t="shared" si="14"/>
        <v>31010</v>
      </c>
      <c r="H31" s="65">
        <f t="shared" si="14"/>
        <v>23632.75</v>
      </c>
      <c r="I31" s="65">
        <f t="shared" si="14"/>
        <v>7736</v>
      </c>
      <c r="J31" s="65">
        <f t="shared" si="14"/>
        <v>5139</v>
      </c>
      <c r="K31" s="66">
        <f>SUM(F31:J31)</f>
        <v>67517.75</v>
      </c>
      <c r="L31" s="122"/>
      <c r="M31" s="122"/>
      <c r="N31" s="122"/>
      <c r="O31" s="122"/>
      <c r="P31" s="122"/>
    </row>
    <row r="32" spans="1:16" ht="24" customHeight="1">
      <c r="A32" s="140"/>
      <c r="B32" s="151"/>
      <c r="C32" s="139"/>
      <c r="D32" s="138"/>
      <c r="E32" s="59" t="s">
        <v>69</v>
      </c>
      <c r="F32" s="65">
        <f t="shared" si="14"/>
        <v>5000</v>
      </c>
      <c r="G32" s="65">
        <f t="shared" si="14"/>
        <v>40182</v>
      </c>
      <c r="H32" s="65">
        <f t="shared" si="14"/>
        <v>35220</v>
      </c>
      <c r="I32" s="65">
        <f t="shared" si="14"/>
        <v>8466</v>
      </c>
      <c r="J32" s="65">
        <f t="shared" si="14"/>
        <v>4615</v>
      </c>
      <c r="K32" s="66">
        <f>SUM(F32:J32)</f>
        <v>93483</v>
      </c>
      <c r="L32" s="122"/>
      <c r="M32" s="122"/>
      <c r="N32" s="122"/>
      <c r="O32" s="122"/>
      <c r="P32" s="122"/>
    </row>
    <row r="33" spans="1:16" ht="24" customHeight="1">
      <c r="A33" s="141"/>
      <c r="B33" s="151"/>
      <c r="C33" s="139"/>
      <c r="D33" s="138"/>
      <c r="E33" s="59" t="s">
        <v>21</v>
      </c>
      <c r="F33" s="65">
        <f t="shared" si="14"/>
        <v>26107</v>
      </c>
      <c r="G33" s="65">
        <f t="shared" si="14"/>
        <v>64387</v>
      </c>
      <c r="H33" s="65">
        <f t="shared" si="14"/>
        <v>67558.25</v>
      </c>
      <c r="I33" s="65">
        <f t="shared" si="14"/>
        <v>68907</v>
      </c>
      <c r="J33" s="65">
        <f t="shared" si="14"/>
        <v>70850</v>
      </c>
      <c r="K33" s="66">
        <f>SUM(F33:J33)</f>
        <v>297809.25</v>
      </c>
      <c r="L33" s="122"/>
      <c r="M33" s="122"/>
      <c r="N33" s="122"/>
      <c r="O33" s="122"/>
      <c r="P33" s="122"/>
    </row>
    <row r="34" spans="1:16" ht="14.25">
      <c r="A34" s="43"/>
      <c r="B34" s="44"/>
      <c r="C34" s="43"/>
      <c r="D34" s="43"/>
      <c r="E34" s="46"/>
      <c r="F34" s="111">
        <f aca="true" t="shared" si="15" ref="F34:K34">SUM(F31:F33)</f>
        <v>31107</v>
      </c>
      <c r="G34" s="111">
        <f t="shared" si="15"/>
        <v>135579</v>
      </c>
      <c r="H34" s="111">
        <f t="shared" si="15"/>
        <v>126411</v>
      </c>
      <c r="I34" s="111">
        <f t="shared" si="15"/>
        <v>85109</v>
      </c>
      <c r="J34" s="111">
        <f t="shared" si="15"/>
        <v>80604</v>
      </c>
      <c r="K34" s="66">
        <f t="shared" si="15"/>
        <v>458810</v>
      </c>
      <c r="L34" s="122"/>
      <c r="M34" s="122"/>
      <c r="N34" s="122"/>
      <c r="O34" s="122"/>
      <c r="P34" s="122"/>
    </row>
    <row r="35" spans="1:16" ht="15">
      <c r="A35" s="43"/>
      <c r="B35" s="44"/>
      <c r="C35" s="43"/>
      <c r="D35" s="43"/>
      <c r="E35" s="32" t="s">
        <v>301</v>
      </c>
      <c r="F35" s="126">
        <f>SUM(G35:J35)</f>
        <v>149633.03</v>
      </c>
      <c r="G35" s="127">
        <f>ЦЭС!P80+ВодоКанал!P90+ПСЦ!P131+ЦГУС!O84+ТБО!P80+КализацияИочистные!P65</f>
        <v>33324.5</v>
      </c>
      <c r="H35" s="127">
        <f>ЦЭС!Q80+ВодоКанал!Q90+ПСЦ!Q131+ЦГУС!P84+ТБО!Q80+КализацияИочистные!Q65</f>
        <v>36517.799999999996</v>
      </c>
      <c r="I35" s="127">
        <f>ЦЭС!R80+ВодоКанал!R90+ПСЦ!R131+ЦГУС!Q84+ТБО!R80+КализацияИочистные!R65</f>
        <v>38911.83</v>
      </c>
      <c r="J35" s="127">
        <f>ЦЭС!S80+ВодоКанал!S90+ПСЦ!S131+ЦГУС!R84+ТБО!S80+КализацияИочистные!S65</f>
        <v>40878.9</v>
      </c>
      <c r="L35" s="122"/>
      <c r="M35" s="122"/>
      <c r="N35" s="122"/>
      <c r="O35" s="122"/>
      <c r="P35" s="122"/>
    </row>
    <row r="36" spans="1:10" ht="15">
      <c r="A36" s="43"/>
      <c r="B36" s="51"/>
      <c r="C36" s="43"/>
      <c r="D36" s="43"/>
      <c r="E36" s="46"/>
      <c r="F36" s="53"/>
      <c r="G36" s="53"/>
      <c r="H36" s="53"/>
      <c r="I36" s="53"/>
      <c r="J36" s="54"/>
    </row>
    <row r="37" spans="6:9" ht="12.75">
      <c r="F37" s="66"/>
      <c r="G37" s="27"/>
      <c r="H37" s="27"/>
      <c r="I37" s="27"/>
    </row>
    <row r="38" spans="6:9" ht="12.75">
      <c r="F38" s="27"/>
      <c r="G38" s="27"/>
      <c r="H38" s="27"/>
      <c r="I38" s="27"/>
    </row>
    <row r="39" spans="6:9" ht="12.75">
      <c r="F39" s="27"/>
      <c r="G39" s="27"/>
      <c r="H39" s="27"/>
      <c r="I39" s="27"/>
    </row>
    <row r="40" spans="6:9" ht="12.75">
      <c r="F40" s="27"/>
      <c r="G40" s="27"/>
      <c r="H40" s="27"/>
      <c r="I40" s="27"/>
    </row>
    <row r="41" spans="6:9" ht="12.75">
      <c r="F41" s="27"/>
      <c r="G41" s="27"/>
      <c r="H41" s="27"/>
      <c r="I41" s="27"/>
    </row>
    <row r="42" spans="6:9" ht="12.75">
      <c r="F42" s="27"/>
      <c r="G42" s="27"/>
      <c r="H42" s="27"/>
      <c r="I42" s="27"/>
    </row>
    <row r="43" spans="6:9" ht="12.75">
      <c r="F43" s="27"/>
      <c r="G43" s="27"/>
      <c r="H43" s="27"/>
      <c r="I43" s="27"/>
    </row>
    <row r="44" spans="6:9" ht="12.75">
      <c r="F44" s="27"/>
      <c r="G44" s="27"/>
      <c r="H44" s="27"/>
      <c r="I44" s="27"/>
    </row>
    <row r="45" spans="6:9" ht="12.75">
      <c r="F45" s="27"/>
      <c r="G45" s="27"/>
      <c r="H45" s="27"/>
      <c r="I45" s="27"/>
    </row>
    <row r="46" spans="6:9" ht="12.75">
      <c r="F46" s="27"/>
      <c r="G46" s="27"/>
      <c r="H46" s="27"/>
      <c r="I46" s="27"/>
    </row>
    <row r="47" spans="6:9" ht="12.75">
      <c r="F47" s="27"/>
      <c r="G47" s="27"/>
      <c r="H47" s="27"/>
      <c r="I47" s="27"/>
    </row>
    <row r="48" spans="6:9" ht="12.75">
      <c r="F48" s="27"/>
      <c r="G48" s="27"/>
      <c r="H48" s="27"/>
      <c r="I48" s="27"/>
    </row>
    <row r="49" spans="6:9" ht="12.75">
      <c r="F49" s="27"/>
      <c r="G49" s="27"/>
      <c r="H49" s="27"/>
      <c r="I49" s="27"/>
    </row>
    <row r="50" spans="6:9" ht="12.75">
      <c r="F50" s="27"/>
      <c r="G50" s="27"/>
      <c r="H50" s="27"/>
      <c r="I50" s="27"/>
    </row>
    <row r="51" spans="6:9" ht="12.75">
      <c r="F51" s="27"/>
      <c r="G51" s="27"/>
      <c r="H51" s="27"/>
      <c r="I51" s="27"/>
    </row>
  </sheetData>
  <mergeCells count="34">
    <mergeCell ref="A7:A9"/>
    <mergeCell ref="E4:J4"/>
    <mergeCell ref="D4:D5"/>
    <mergeCell ref="A4:A5"/>
    <mergeCell ref="B4:B5"/>
    <mergeCell ref="C4:C5"/>
    <mergeCell ref="A15:A17"/>
    <mergeCell ref="B15:B17"/>
    <mergeCell ref="C15:C17"/>
    <mergeCell ref="A11:A13"/>
    <mergeCell ref="B11:B13"/>
    <mergeCell ref="C11:C13"/>
    <mergeCell ref="A31:A33"/>
    <mergeCell ref="B31:B33"/>
    <mergeCell ref="C31:C33"/>
    <mergeCell ref="A27:A29"/>
    <mergeCell ref="B27:B29"/>
    <mergeCell ref="C27:C29"/>
    <mergeCell ref="A23:A25"/>
    <mergeCell ref="B23:B25"/>
    <mergeCell ref="C23:C25"/>
    <mergeCell ref="A19:A21"/>
    <mergeCell ref="B19:B21"/>
    <mergeCell ref="C19:C21"/>
    <mergeCell ref="B2:J2"/>
    <mergeCell ref="D31:D33"/>
    <mergeCell ref="C7:C9"/>
    <mergeCell ref="B7:B9"/>
    <mergeCell ref="D27:D29"/>
    <mergeCell ref="D23:D25"/>
    <mergeCell ref="D19:D21"/>
    <mergeCell ref="D15:D17"/>
    <mergeCell ref="D11:D13"/>
    <mergeCell ref="D7:D9"/>
  </mergeCells>
  <printOptions/>
  <pageMargins left="0.45" right="0.3" top="0.4" bottom="0.32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 ЦГУС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 Сергей Юрьевич</dc:creator>
  <cp:keywords/>
  <dc:description/>
  <cp:lastModifiedBy>btf</cp:lastModifiedBy>
  <cp:lastPrinted>2006-06-28T05:58:18Z</cp:lastPrinted>
  <dcterms:created xsi:type="dcterms:W3CDTF">2006-01-23T11:35:12Z</dcterms:created>
  <dcterms:modified xsi:type="dcterms:W3CDTF">2006-06-29T11:19:15Z</dcterms:modified>
  <cp:category/>
  <cp:version/>
  <cp:contentType/>
  <cp:contentStatus/>
</cp:coreProperties>
</file>